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3.xml" ContentType="application/vnd.openxmlformats-officedocument.drawing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800" windowHeight="18000" tabRatio="500" firstSheet="0" activeTab="0" autoFilterDateGrouping="1"/>
  </bookViews>
  <sheets>
    <sheet xmlns:r="http://schemas.openxmlformats.org/officeDocument/2006/relationships" name="À propos" sheetId="1" state="visible" r:id="rId1"/>
    <sheet xmlns:r="http://schemas.openxmlformats.org/officeDocument/2006/relationships" name="F1_Synthese_Globale" sheetId="2" state="visible" r:id="rId2"/>
    <sheet xmlns:r="http://schemas.openxmlformats.org/officeDocument/2006/relationships" name="F2_Polarisation" sheetId="3" state="visible" r:id="rId3"/>
    <sheet xmlns:r="http://schemas.openxmlformats.org/officeDocument/2006/relationships" name="F3_Segmentation_Thematique" sheetId="4" state="visible" r:id="rId4"/>
    <sheet xmlns:r="http://schemas.openxmlformats.org/officeDocument/2006/relationships" name="F4_Engagement" sheetId="5" state="visible" r:id="rId5"/>
    <sheet xmlns:r="http://schemas.openxmlformats.org/officeDocument/2006/relationships" name="F5_Critique_Commentaires" sheetId="6" state="visible" r:id="rId6"/>
    <sheet xmlns:r="http://schemas.openxmlformats.org/officeDocument/2006/relationships" name="F6_Frequence_Thematique" sheetId="7" state="visible" r:id="rId7"/>
    <sheet xmlns:r="http://schemas.openxmlformats.org/officeDocument/2006/relationships" name="Donnees_Brutes" sheetId="8" state="visible" r:id="rId8"/>
    <sheet xmlns:r="http://schemas.openxmlformats.org/officeDocument/2006/relationships" name="Dictionnaire" sheetId="9" state="visible" r:id="rId9"/>
  </sheets>
  <definedNames>
    <definedName name="_xlnm.Print_Area" localSheetId="0">'À propos'!$A$1:$B$27</definedName>
    <definedName name="_xlnm.Print_Area" localSheetId="1">'F1_Synthese_Globale'!$A$1:$I$27</definedName>
    <definedName name="_xlnm.Print_Area" localSheetId="2">'F2_Polarisation'!$A$1:$I$30</definedName>
    <definedName name="_xlnm.Print_Area" localSheetId="3">'F3_Segmentation_Thematique'!$A$1:$H$42</definedName>
    <definedName name="_xlnm.Print_Area" localSheetId="4">'F4_Engagement'!$A$1:$I$9</definedName>
    <definedName name="_xlnm.Print_Area" localSheetId="5">'F5_Critique_Commentaires'!$A$1:$D$52</definedName>
    <definedName name="_xlnm.Print_Area" localSheetId="6">'F6_Frequence_Thematique'!$A$1:$H$58</definedName>
    <definedName name="_xlnm.Print_Titles" localSheetId="7">'Donnees_Brutes'!$1:$1</definedName>
    <definedName name="_xlnm.Print_Area" localSheetId="7">'Donnees_Brutes'!$A$1:$O$987</definedName>
    <definedName name="_xlnm.Print_Area" localSheetId="8">'Dictionnaire'!$A$1:$B$16</definedName>
  </definedNames>
  <calcPr calcId="191029" fullCalcOnLoad="1" iterateDelta="0.0001"/>
</workbook>
</file>

<file path=xl/styles.xml><?xml version="1.0" encoding="utf-8"?>
<styleSheet xmlns="http://schemas.openxmlformats.org/spreadsheetml/2006/main">
  <numFmts count="3">
    <numFmt numFmtId="164" formatCode="0.0000"/>
    <numFmt numFmtId="165" formatCode="0.000"/>
    <numFmt numFmtId="166" formatCode="0.0"/>
  </numFmts>
  <fonts count="38">
    <font>
      <name val="Calibri"/>
      <charset val="1"/>
      <family val="2"/>
      <color theme="1"/>
      <sz val="11"/>
    </font>
    <font>
      <name val="Arial"/>
      <charset val="1"/>
      <family val="2"/>
      <b val="1"/>
      <color rgb="FFFFFFFF"/>
      <sz val="13"/>
    </font>
    <font>
      <name val="Arial"/>
      <charset val="1"/>
      <family val="2"/>
      <i val="1"/>
      <color rgb="FF5D4037"/>
      <sz val="8"/>
    </font>
    <font>
      <name val="Arial"/>
      <charset val="1"/>
      <family val="2"/>
      <b val="1"/>
      <color rgb="FFFFFFFF"/>
      <sz val="10"/>
    </font>
    <font>
      <name val="Arial"/>
      <charset val="1"/>
      <family val="2"/>
      <b val="1"/>
      <color rgb="FFFFFFFF"/>
      <sz val="8"/>
    </font>
    <font>
      <name val="Arial"/>
      <charset val="1"/>
      <family val="2"/>
      <b val="1"/>
      <color rgb="FF1A1A2E"/>
      <sz val="9"/>
    </font>
    <font>
      <name val="Arial"/>
      <family val="2"/>
      <b val="1"/>
      <color rgb="FFFFFFFF"/>
      <sz val="10"/>
    </font>
    <font>
      <name val="Arial"/>
      <family val="2"/>
      <b val="1"/>
      <color rgb="FFFFFFFF"/>
      <sz val="8"/>
    </font>
    <font>
      <name val="Arial"/>
      <family val="2"/>
      <color rgb="FF1A1A2E"/>
      <sz val="9"/>
    </font>
    <font>
      <name val="Arial"/>
      <charset val="1"/>
      <family val="2"/>
      <color rgb="FF1A1A2E"/>
      <sz val="9"/>
    </font>
    <font>
      <name val="Arial"/>
      <family val="2"/>
      <b val="1"/>
      <color rgb="FF1A1A2E"/>
      <sz val="9"/>
    </font>
    <font>
      <name val="Arial"/>
      <charset val="1"/>
      <family val="2"/>
      <b val="1"/>
      <color rgb="FFC0392B"/>
      <sz val="9"/>
    </font>
    <font>
      <name val="Arial"/>
      <charset val="1"/>
      <family val="2"/>
      <b val="1"/>
      <i val="1"/>
      <color rgb="FFFFFFFF"/>
      <sz val="9"/>
    </font>
    <font>
      <name val="Arial"/>
      <charset val="1"/>
      <family val="2"/>
      <b val="1"/>
      <color rgb="FFFFFFFF"/>
      <sz val="9"/>
    </font>
    <font>
      <name val="Arial"/>
      <charset val="1"/>
      <family val="2"/>
      <color rgb="FFC0392B"/>
      <sz val="9"/>
    </font>
    <font>
      <name val="Arial"/>
      <charset val="1"/>
      <family val="2"/>
      <i val="1"/>
      <color rgb="FF555555"/>
      <sz val="9"/>
    </font>
    <font>
      <name val="Arial"/>
      <charset val="1"/>
      <family val="2"/>
      <color rgb="FF888888"/>
      <sz val="9"/>
    </font>
    <font>
      <name val="Arial"/>
      <charset val="1"/>
      <family val="2"/>
      <i val="1"/>
      <color rgb="FF555555"/>
      <sz val="8"/>
    </font>
    <font>
      <name val="Calibri"/>
      <charset val="1"/>
      <family val="2"/>
      <color theme="10"/>
      <sz val="11"/>
      <u val="single"/>
    </font>
    <font>
      <name val="Arial"/>
      <charset val="1"/>
      <family val="2"/>
      <color rgb="FF333333"/>
      <sz val="7"/>
    </font>
    <font>
      <name val="Arial"/>
      <charset val="1"/>
      <family val="2"/>
      <color rgb="FF1A1A2E"/>
      <sz val="8"/>
    </font>
    <font>
      <name val="Arial"/>
      <charset val="1"/>
      <family val="2"/>
      <b val="1"/>
      <color rgb="FF1A1A2E"/>
      <sz val="8"/>
    </font>
    <font>
      <name val="Arial"/>
      <charset val="1"/>
      <family val="2"/>
      <color rgb="FF888888"/>
      <sz val="8"/>
    </font>
    <font>
      <name val="Arial"/>
      <charset val="1"/>
      <family val="2"/>
      <b val="1"/>
      <color rgb="FFC0392B"/>
      <sz val="8"/>
    </font>
    <font>
      <name val="Calibri"/>
      <charset val="1"/>
      <family val="2"/>
      <color theme="1"/>
      <sz val="8"/>
    </font>
    <font>
      <name val="Arial"/>
      <charset val="1"/>
      <family val="2"/>
      <b val="1"/>
      <color rgb="FF00B050"/>
      <sz val="8"/>
    </font>
    <font>
      <name val="Arial"/>
      <charset val="1"/>
      <family val="2"/>
      <b val="1"/>
      <color rgb="FF888888"/>
      <sz val="8"/>
    </font>
    <font>
      <name val="Arial"/>
      <charset val="1"/>
      <family val="2"/>
      <b val="1"/>
      <color theme="4"/>
      <sz val="8"/>
    </font>
    <font>
      <name val="Arial"/>
      <charset val="1"/>
      <family val="2"/>
      <color rgb="FFC0392B"/>
      <sz val="8"/>
    </font>
    <font>
      <name val="Arial"/>
      <charset val="1"/>
      <family val="2"/>
      <b val="1"/>
      <color rgb="FF27AE60"/>
      <sz val="8"/>
    </font>
    <font>
      <name val="Arial"/>
      <charset val="1"/>
      <family val="2"/>
      <b val="1"/>
      <color rgb="FF2471A3"/>
      <sz val="8"/>
    </font>
    <font>
      <name val="Arial"/>
      <family val="2"/>
      <b val="1"/>
      <color rgb="FFFFFFFF"/>
      <sz val="15"/>
    </font>
    <font>
      <name val="Arial"/>
      <family val="2"/>
      <i val="1"/>
      <color rgb="FFFFFFFF"/>
      <sz val="11"/>
    </font>
    <font>
      <name val="Arial"/>
      <family val="2"/>
      <b val="1"/>
      <color rgb="FF1F3864"/>
      <sz val="11"/>
    </font>
    <font>
      <name val="Arial"/>
      <family val="2"/>
      <sz val="11"/>
    </font>
    <font>
      <name val="Arial"/>
      <family val="2"/>
      <b val="1"/>
      <color rgb="FFFFFFFF"/>
      <sz val="11"/>
    </font>
    <font>
      <name val="Arial"/>
      <family val="2"/>
      <b val="1"/>
      <color rgb="FF2E5496"/>
      <sz val="10"/>
    </font>
    <font>
      <name val="Arial"/>
      <family val="2"/>
      <sz val="10"/>
    </font>
  </fonts>
  <fills count="34">
    <fill>
      <patternFill/>
    </fill>
    <fill>
      <patternFill patternType="gray125"/>
    </fill>
    <fill>
      <patternFill patternType="solid">
        <fgColor rgb="FF1A1A2E"/>
        <bgColor rgb="FF16213E"/>
      </patternFill>
    </fill>
    <fill>
      <patternFill patternType="solid">
        <fgColor rgb="FFFFF9E6"/>
        <bgColor rgb="FFFFF3E0"/>
      </patternFill>
    </fill>
    <fill>
      <patternFill patternType="solid">
        <fgColor rgb="FF0F3460"/>
        <bgColor rgb="FF154360"/>
      </patternFill>
    </fill>
    <fill>
      <patternFill patternType="solid">
        <fgColor theme="0"/>
        <bgColor rgb="FFF8F8F8"/>
      </patternFill>
    </fill>
    <fill>
      <patternFill patternType="solid">
        <fgColor rgb="FFD6EAF8"/>
        <bgColor rgb="FFE0E0FF"/>
      </patternFill>
    </fill>
    <fill>
      <patternFill patternType="solid">
        <fgColor rgb="FFC0392B"/>
        <bgColor rgb="FFB7500A"/>
      </patternFill>
    </fill>
    <fill>
      <patternFill patternType="solid">
        <fgColor rgb="FFFFE8E8"/>
        <bgColor rgb="FFFDECEA"/>
      </patternFill>
    </fill>
    <fill>
      <patternFill patternType="solid">
        <fgColor rgb="FFB7500A"/>
        <bgColor rgb="FFC0392B"/>
      </patternFill>
    </fill>
    <fill>
      <patternFill patternType="solid">
        <fgColor rgb="FFFFF3E0"/>
        <bgColor rgb="FFFFF9E6"/>
      </patternFill>
    </fill>
    <fill>
      <patternFill patternType="solid">
        <fgColor rgb="FF1A6B2A"/>
        <bgColor rgb="FF154360"/>
      </patternFill>
    </fill>
    <fill>
      <patternFill patternType="solid">
        <fgColor rgb="FFE8F4E8"/>
        <bgColor rgb="FFE0F0E0"/>
      </patternFill>
    </fill>
    <fill>
      <patternFill patternType="solid">
        <fgColor rgb="FF154360"/>
        <bgColor rgb="FF0F3460"/>
      </patternFill>
    </fill>
    <fill>
      <patternFill patternType="solid">
        <fgColor rgb="FFEBF5FB"/>
        <bgColor rgb="FFF0F4F8"/>
      </patternFill>
    </fill>
    <fill>
      <patternFill patternType="solid">
        <fgColor rgb="FF6C3483"/>
        <bgColor rgb="FF8E44AD"/>
      </patternFill>
    </fill>
    <fill>
      <patternFill patternType="solid">
        <fgColor rgb="FFF5EEF8"/>
        <bgColor rgb="FFF0F4F8"/>
      </patternFill>
    </fill>
    <fill>
      <patternFill patternType="solid">
        <fgColor rgb="FFFF2222"/>
        <bgColor rgb="FFE74C3C"/>
      </patternFill>
    </fill>
    <fill>
      <patternFill patternType="solid">
        <fgColor rgb="FFFF6666"/>
        <bgColor rgb="FFE74C3C"/>
      </patternFill>
    </fill>
    <fill>
      <patternFill patternType="solid">
        <fgColor rgb="FFFFAAAA"/>
        <bgColor rgb="FFFFD5D5"/>
      </patternFill>
    </fill>
    <fill>
      <patternFill patternType="solid">
        <fgColor rgb="FFFFD5D5"/>
        <bgColor rgb="FFFFE0E0"/>
      </patternFill>
    </fill>
    <fill>
      <patternFill patternType="solid">
        <fgColor rgb="FFFFFFAA"/>
        <bgColor rgb="FFFFF3E0"/>
      </patternFill>
    </fill>
    <fill>
      <patternFill patternType="solid">
        <fgColor rgb="FFFFE0E0"/>
        <bgColor rgb="FFFFE8E8"/>
      </patternFill>
    </fill>
    <fill>
      <patternFill patternType="solid">
        <fgColor rgb="FFE0E0FF"/>
        <bgColor rgb="FFD6EAF8"/>
      </patternFill>
    </fill>
    <fill>
      <patternFill patternType="solid">
        <fgColor rgb="FFE0F0E0"/>
        <bgColor rgb="FFE8F4E8"/>
      </patternFill>
    </fill>
    <fill>
      <patternFill patternType="solid">
        <fgColor rgb="FF16213E"/>
        <bgColor rgb="FF1A1A2E"/>
      </patternFill>
    </fill>
    <fill>
      <patternFill patternType="solid">
        <fgColor rgb="FFF0F4F8"/>
        <bgColor rgb="FFEBF5FB"/>
      </patternFill>
    </fill>
    <fill>
      <patternFill patternType="solid">
        <fgColor theme="4"/>
        <bgColor rgb="FF3498DB"/>
      </patternFill>
    </fill>
    <fill>
      <patternFill patternType="solid">
        <fgColor rgb="FFF7F7F7"/>
        <bgColor rgb="FFF8F8F8"/>
      </patternFill>
    </fill>
    <fill>
      <patternFill patternType="solid">
        <fgColor rgb="FFFDECEA"/>
        <bgColor rgb="FFFFE8E8"/>
      </patternFill>
    </fill>
    <fill>
      <patternFill patternType="solid">
        <fgColor rgb="FFF8F8F8"/>
        <bgColor rgb="FFF7F7F7"/>
      </patternFill>
    </fill>
    <fill>
      <patternFill patternType="solid">
        <fgColor rgb="FFFEF8E5"/>
        <bgColor indexed="64"/>
      </patternFill>
    </fill>
    <fill>
      <patternFill patternType="solid">
        <fgColor rgb="FF1F3864"/>
      </patternFill>
    </fill>
    <fill>
      <patternFill patternType="solid">
        <fgColor rgb="FF2E5496"/>
      </patternFill>
    </fill>
  </fills>
  <borders count="15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DDDDDD"/>
      </top>
      <bottom/>
      <diagonal/>
    </border>
    <border>
      <left/>
      <right style="thin">
        <color rgb="FFDDDDDD"/>
      </right>
      <top style="thin">
        <color rgb="FFDDDDDD"/>
      </top>
      <bottom/>
      <diagonal/>
    </border>
    <border>
      <left/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/>
      <diagonal/>
    </border>
  </borders>
  <cellStyleXfs count="2">
    <xf numFmtId="0" fontId="0" fillId="0" borderId="0"/>
    <xf numFmtId="0" fontId="18" fillId="0" borderId="0"/>
  </cellStyleXfs>
  <cellXfs count="157">
    <xf numFmtId="0" fontId="0" fillId="0" borderId="0" pivotButton="0" quotePrefix="0" xfId="0"/>
    <xf numFmtId="0" fontId="4" fillId="4" borderId="0" applyAlignment="1" pivotButton="0" quotePrefix="0" xfId="0">
      <alignment horizontal="center" vertical="center" wrapText="1"/>
    </xf>
    <xf numFmtId="0" fontId="0" fillId="5" borderId="0" pivotButton="0" quotePrefix="0" xfId="0"/>
    <xf numFmtId="0" fontId="5" fillId="5" borderId="0" applyAlignment="1" pivotButton="0" quotePrefix="0" xfId="0">
      <alignment horizontal="center" vertical="center"/>
    </xf>
    <xf numFmtId="0" fontId="5" fillId="6" borderId="0" applyAlignment="1" pivotButton="0" quotePrefix="0" xfId="0">
      <alignment horizontal="center" vertical="center"/>
    </xf>
    <xf numFmtId="1" fontId="5" fillId="6" borderId="0" applyAlignment="1" pivotButton="0" quotePrefix="0" xfId="0">
      <alignment horizontal="center" vertical="center"/>
    </xf>
    <xf numFmtId="0" fontId="7" fillId="7" borderId="1" applyAlignment="1" pivotButton="0" quotePrefix="0" xfId="0">
      <alignment horizontal="center" vertical="center" wrapText="1"/>
    </xf>
    <xf numFmtId="0" fontId="7" fillId="9" borderId="1" applyAlignment="1" pivotButton="0" quotePrefix="0" xfId="0">
      <alignment horizontal="center" vertical="center" wrapText="1"/>
    </xf>
    <xf numFmtId="0" fontId="7" fillId="11" borderId="1" applyAlignment="1" pivotButton="0" quotePrefix="0" xfId="0">
      <alignment horizontal="center" vertical="center" wrapText="1"/>
    </xf>
    <xf numFmtId="0" fontId="7" fillId="13" borderId="1" applyAlignment="1" pivotButton="0" quotePrefix="0" xfId="0">
      <alignment horizontal="center" vertical="center" wrapText="1"/>
    </xf>
    <xf numFmtId="0" fontId="7" fillId="15" borderId="1" applyAlignment="1" pivotButton="0" quotePrefix="0" xfId="0">
      <alignment horizontal="center" vertical="center" wrapText="1"/>
    </xf>
    <xf numFmtId="0" fontId="3" fillId="4" borderId="0" applyAlignment="1" pivotButton="0" quotePrefix="0" xfId="0">
      <alignment horizontal="center" vertical="center" wrapText="1"/>
    </xf>
    <xf numFmtId="0" fontId="5" fillId="17" borderId="2" applyAlignment="1" pivotButton="0" quotePrefix="0" xfId="0">
      <alignment horizontal="center" vertical="center"/>
    </xf>
    <xf numFmtId="0" fontId="9" fillId="17" borderId="2" applyAlignment="1" pivotButton="0" quotePrefix="0" xfId="0">
      <alignment horizontal="center" vertical="center"/>
    </xf>
    <xf numFmtId="0" fontId="5" fillId="18" borderId="2" applyAlignment="1" pivotButton="0" quotePrefix="0" xfId="0">
      <alignment horizontal="center" vertical="center"/>
    </xf>
    <xf numFmtId="0" fontId="9" fillId="18" borderId="2" applyAlignment="1" pivotButton="0" quotePrefix="0" xfId="0">
      <alignment horizontal="center" vertical="center"/>
    </xf>
    <xf numFmtId="0" fontId="5" fillId="19" borderId="2" applyAlignment="1" pivotButton="0" quotePrefix="0" xfId="0">
      <alignment horizontal="center" vertical="center"/>
    </xf>
    <xf numFmtId="0" fontId="9" fillId="19" borderId="2" applyAlignment="1" pivotButton="0" quotePrefix="0" xfId="0">
      <alignment horizontal="center" vertical="center"/>
    </xf>
    <xf numFmtId="0" fontId="5" fillId="20" borderId="2" applyAlignment="1" pivotButton="0" quotePrefix="0" xfId="0">
      <alignment horizontal="center" vertical="center"/>
    </xf>
    <xf numFmtId="0" fontId="9" fillId="20" borderId="2" applyAlignment="1" pivotButton="0" quotePrefix="0" xfId="0">
      <alignment horizontal="center" vertical="center"/>
    </xf>
    <xf numFmtId="0" fontId="5" fillId="21" borderId="2" applyAlignment="1" pivotButton="0" quotePrefix="0" xfId="0">
      <alignment horizontal="center" vertical="center"/>
    </xf>
    <xf numFmtId="0" fontId="9" fillId="21" borderId="2" applyAlignment="1" pivotButton="0" quotePrefix="0" xfId="0">
      <alignment horizontal="center" vertical="center"/>
    </xf>
    <xf numFmtId="0" fontId="11" fillId="0" borderId="2" applyAlignment="1" pivotButton="0" quotePrefix="0" xfId="0">
      <alignment horizontal="center" vertical="center"/>
    </xf>
    <xf numFmtId="2" fontId="11" fillId="0" borderId="2" applyAlignment="1" pivotButton="0" quotePrefix="0" xfId="0">
      <alignment horizontal="center" vertical="center"/>
    </xf>
    <xf numFmtId="0" fontId="9" fillId="0" borderId="2" applyAlignment="1" pivotButton="0" quotePrefix="0" xfId="0">
      <alignment horizontal="center" vertical="center"/>
    </xf>
    <xf numFmtId="0" fontId="5" fillId="22" borderId="2" applyAlignment="1" pivotButton="0" quotePrefix="0" xfId="0">
      <alignment horizontal="left" vertical="center"/>
    </xf>
    <xf numFmtId="0" fontId="9" fillId="22" borderId="2" applyAlignment="1" pivotButton="0" quotePrefix="0" xfId="0">
      <alignment horizontal="left" vertical="center"/>
    </xf>
    <xf numFmtId="0" fontId="5" fillId="22" borderId="2" applyAlignment="1" pivotButton="0" quotePrefix="0" xfId="0">
      <alignment horizontal="center" vertical="center"/>
    </xf>
    <xf numFmtId="0" fontId="5" fillId="23" borderId="2" applyAlignment="1" pivotButton="0" quotePrefix="0" xfId="0">
      <alignment horizontal="left" vertical="center"/>
    </xf>
    <xf numFmtId="0" fontId="9" fillId="23" borderId="2" applyAlignment="1" pivotButton="0" quotePrefix="0" xfId="0">
      <alignment horizontal="left" vertical="center"/>
    </xf>
    <xf numFmtId="0" fontId="5" fillId="23" borderId="2" applyAlignment="1" pivotButton="0" quotePrefix="0" xfId="0">
      <alignment horizontal="center" vertical="center"/>
    </xf>
    <xf numFmtId="0" fontId="5" fillId="24" borderId="2" applyAlignment="1" pivotButton="0" quotePrefix="0" xfId="0">
      <alignment horizontal="left" vertical="center"/>
    </xf>
    <xf numFmtId="0" fontId="9" fillId="24" borderId="2" applyAlignment="1" pivotButton="0" quotePrefix="0" xfId="0">
      <alignment horizontal="left" vertical="center"/>
    </xf>
    <xf numFmtId="0" fontId="5" fillId="24" borderId="2" applyAlignment="1" pivotButton="0" quotePrefix="0" xfId="0">
      <alignment horizontal="center" vertical="center"/>
    </xf>
    <xf numFmtId="0" fontId="5" fillId="5" borderId="0" applyAlignment="1" pivotButton="0" quotePrefix="0" xfId="0">
      <alignment horizontal="left" vertical="center"/>
    </xf>
    <xf numFmtId="0" fontId="9" fillId="5" borderId="0" applyAlignment="1" pivotButton="0" quotePrefix="0" xfId="0">
      <alignment horizontal="left" vertical="center"/>
    </xf>
    <xf numFmtId="0" fontId="9" fillId="5" borderId="0" applyAlignment="1" pivotButton="0" quotePrefix="0" xfId="0">
      <alignment horizontal="center" vertical="center"/>
    </xf>
    <xf numFmtId="0" fontId="9" fillId="26" borderId="2" applyAlignment="1" pivotButton="0" quotePrefix="0" xfId="0">
      <alignment horizontal="left" vertical="center"/>
    </xf>
    <xf numFmtId="0" fontId="9" fillId="26" borderId="2" applyAlignment="1" pivotButton="0" quotePrefix="0" xfId="0">
      <alignment horizontal="center" vertical="center"/>
    </xf>
    <xf numFmtId="0" fontId="9" fillId="5" borderId="2" applyAlignment="1" pivotButton="0" quotePrefix="0" xfId="0">
      <alignment horizontal="left" vertical="center"/>
    </xf>
    <xf numFmtId="0" fontId="9" fillId="5" borderId="2" applyAlignment="1" pivotButton="0" quotePrefix="0" xfId="0">
      <alignment horizontal="center" vertical="center"/>
    </xf>
    <xf numFmtId="0" fontId="14" fillId="26" borderId="2" applyAlignment="1" pivotButton="0" quotePrefix="0" xfId="0">
      <alignment horizontal="center" vertical="center"/>
    </xf>
    <xf numFmtId="0" fontId="14" fillId="5" borderId="2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5" fillId="29" borderId="2" applyAlignment="1" pivotButton="0" quotePrefix="0" xfId="0">
      <alignment horizontal="center" vertical="center" wrapText="1"/>
    </xf>
    <xf numFmtId="2" fontId="11" fillId="29" borderId="2" applyAlignment="1" pivotButton="0" quotePrefix="0" xfId="0">
      <alignment horizontal="center" vertical="center" wrapText="1"/>
    </xf>
    <xf numFmtId="164" fontId="11" fillId="29" borderId="2" applyAlignment="1" pivotButton="0" quotePrefix="0" xfId="0">
      <alignment horizontal="center" vertical="center" wrapText="1"/>
    </xf>
    <xf numFmtId="0" fontId="11" fillId="29" borderId="2" applyAlignment="1" pivotButton="0" quotePrefix="0" xfId="0">
      <alignment horizontal="center" vertical="center" wrapText="1"/>
    </xf>
    <xf numFmtId="2" fontId="9" fillId="29" borderId="2" applyAlignment="1" pivotButton="0" quotePrefix="0" xfId="0">
      <alignment horizontal="center" vertical="center" wrapText="1"/>
    </xf>
    <xf numFmtId="165" fontId="9" fillId="29" borderId="2" applyAlignment="1" pivotButton="0" quotePrefix="0" xfId="0">
      <alignment horizontal="center" vertical="center" wrapText="1"/>
    </xf>
    <xf numFmtId="0" fontId="9" fillId="29" borderId="2" applyAlignment="1" pivotButton="0" quotePrefix="0" xfId="0">
      <alignment horizontal="center" vertical="center" wrapText="1"/>
    </xf>
    <xf numFmtId="0" fontId="5" fillId="30" borderId="2" applyAlignment="1" pivotButton="0" quotePrefix="0" xfId="0">
      <alignment horizontal="center" vertical="center" wrapText="1"/>
    </xf>
    <xf numFmtId="164" fontId="9" fillId="30" borderId="2" applyAlignment="1" pivotButton="0" quotePrefix="0" xfId="0">
      <alignment horizontal="center" vertical="center" wrapText="1"/>
    </xf>
    <xf numFmtId="0" fontId="16" fillId="30" borderId="2" applyAlignment="1" pivotButton="0" quotePrefix="0" xfId="0">
      <alignment horizontal="center" vertical="center" wrapText="1"/>
    </xf>
    <xf numFmtId="2" fontId="9" fillId="30" borderId="2" applyAlignment="1" pivotButton="0" quotePrefix="0" xfId="0">
      <alignment horizontal="center" vertical="center" wrapText="1"/>
    </xf>
    <xf numFmtId="165" fontId="9" fillId="30" borderId="2" applyAlignment="1" pivotButton="0" quotePrefix="0" xfId="0">
      <alignment horizontal="center" vertical="center" wrapText="1"/>
    </xf>
    <xf numFmtId="0" fontId="9" fillId="30" borderId="2" applyAlignment="1" pivotButton="0" quotePrefix="0" xfId="0">
      <alignment horizontal="center" vertical="center" wrapText="1"/>
    </xf>
    <xf numFmtId="0" fontId="5" fillId="3" borderId="2" applyAlignment="1" pivotButton="0" quotePrefix="0" xfId="0">
      <alignment horizontal="center" vertical="center" wrapText="1"/>
    </xf>
    <xf numFmtId="164" fontId="9" fillId="3" borderId="2" applyAlignment="1" pivotButton="0" quotePrefix="0" xfId="0">
      <alignment horizontal="center" vertical="center" wrapText="1"/>
    </xf>
    <xf numFmtId="0" fontId="16" fillId="3" borderId="2" applyAlignment="1" pivotButton="0" quotePrefix="0" xfId="0">
      <alignment horizontal="center" vertical="center" wrapText="1"/>
    </xf>
    <xf numFmtId="2" fontId="9" fillId="3" borderId="2" applyAlignment="1" pivotButton="0" quotePrefix="0" xfId="0">
      <alignment horizontal="center" vertical="center" wrapText="1"/>
    </xf>
    <xf numFmtId="164" fontId="11" fillId="3" borderId="2" applyAlignment="1" pivotButton="0" quotePrefix="0" xfId="0">
      <alignment horizontal="center" vertical="center" wrapText="1"/>
    </xf>
    <xf numFmtId="0" fontId="11" fillId="3" borderId="2" applyAlignment="1" pivotButton="0" quotePrefix="0" xfId="0">
      <alignment horizontal="center" vertical="center" wrapText="1"/>
    </xf>
    <xf numFmtId="165" fontId="9" fillId="3" borderId="2" applyAlignment="1" pivotButton="0" quotePrefix="0" xfId="0">
      <alignment horizontal="center" vertical="center" wrapText="1"/>
    </xf>
    <xf numFmtId="0" fontId="9" fillId="3" borderId="2" applyAlignment="1" pivotButton="0" quotePrefix="0" xfId="0">
      <alignment horizontal="center" vertical="center" wrapText="1"/>
    </xf>
    <xf numFmtId="0" fontId="5" fillId="26" borderId="2" applyAlignment="1" pivotButton="0" quotePrefix="0" xfId="0">
      <alignment horizontal="left" vertical="center"/>
    </xf>
    <xf numFmtId="0" fontId="5" fillId="5" borderId="2" applyAlignment="1" pivotButton="0" quotePrefix="0" xfId="0">
      <alignment horizontal="left" vertical="center"/>
    </xf>
    <xf numFmtId="0" fontId="12" fillId="5" borderId="0" applyAlignment="1" pivotButton="0" quotePrefix="0" xfId="0">
      <alignment horizontal="left" vertical="center" wrapText="1"/>
    </xf>
    <xf numFmtId="0" fontId="16" fillId="26" borderId="2" applyAlignment="1" pivotButton="0" quotePrefix="0" xfId="0">
      <alignment horizontal="center" vertical="center"/>
    </xf>
    <xf numFmtId="0" fontId="16" fillId="5" borderId="2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/>
    </xf>
    <xf numFmtId="0" fontId="18" fillId="26" borderId="0" applyAlignment="1" pivotButton="0" quotePrefix="0" xfId="1">
      <alignment horizontal="left" vertical="center"/>
    </xf>
    <xf numFmtId="0" fontId="9" fillId="26" borderId="0" applyAlignment="1" pivotButton="0" quotePrefix="0" xfId="0">
      <alignment horizontal="left" vertical="center"/>
    </xf>
    <xf numFmtId="0" fontId="9" fillId="26" borderId="0" applyAlignment="1" pivotButton="0" quotePrefix="0" xfId="0">
      <alignment horizontal="center" vertical="center"/>
    </xf>
    <xf numFmtId="166" fontId="9" fillId="26" borderId="0" applyAlignment="1" pivotButton="0" quotePrefix="0" xfId="0">
      <alignment horizontal="center" vertical="center"/>
    </xf>
    <xf numFmtId="0" fontId="13" fillId="4" borderId="0" applyAlignment="1" pivotButton="0" quotePrefix="0" xfId="0">
      <alignment horizontal="center" vertical="center" wrapText="1"/>
    </xf>
    <xf numFmtId="0" fontId="19" fillId="26" borderId="2" applyAlignment="1" pivotButton="0" quotePrefix="0" xfId="0">
      <alignment horizontal="left" vertical="center" wrapText="1"/>
    </xf>
    <xf numFmtId="0" fontId="19" fillId="5" borderId="2" applyAlignment="1" pivotButton="0" quotePrefix="0" xfId="0">
      <alignment horizontal="left" vertical="center" wrapText="1"/>
    </xf>
    <xf numFmtId="0" fontId="20" fillId="26" borderId="2" applyAlignment="1" pivotButton="0" quotePrefix="0" xfId="0">
      <alignment horizontal="left" vertical="center"/>
    </xf>
    <xf numFmtId="0" fontId="21" fillId="26" borderId="2" applyAlignment="1" pivotButton="0" quotePrefix="0" xfId="0">
      <alignment horizontal="center" vertical="center"/>
    </xf>
    <xf numFmtId="0" fontId="20" fillId="26" borderId="2" applyAlignment="1" pivotButton="0" quotePrefix="0" xfId="0">
      <alignment horizontal="center" vertical="center"/>
    </xf>
    <xf numFmtId="0" fontId="22" fillId="26" borderId="2" applyAlignment="1" pivotButton="0" quotePrefix="0" xfId="0">
      <alignment horizontal="center" vertical="center"/>
    </xf>
    <xf numFmtId="0" fontId="23" fillId="26" borderId="2" applyAlignment="1" pivotButton="0" quotePrefix="0" xfId="0">
      <alignment horizontal="center" vertical="center"/>
    </xf>
    <xf numFmtId="0" fontId="23" fillId="26" borderId="2" applyAlignment="1" pivotButton="0" quotePrefix="0" xfId="0">
      <alignment horizontal="left" vertical="center"/>
    </xf>
    <xf numFmtId="0" fontId="24" fillId="0" borderId="0" pivotButton="0" quotePrefix="0" xfId="0"/>
    <xf numFmtId="0" fontId="20" fillId="5" borderId="2" applyAlignment="1" pivotButton="0" quotePrefix="0" xfId="0">
      <alignment horizontal="left" vertical="center"/>
    </xf>
    <xf numFmtId="0" fontId="21" fillId="5" borderId="2" applyAlignment="1" pivotButton="0" quotePrefix="0" xfId="0">
      <alignment horizontal="center" vertical="center"/>
    </xf>
    <xf numFmtId="0" fontId="20" fillId="5" borderId="2" applyAlignment="1" pivotButton="0" quotePrefix="0" xfId="0">
      <alignment horizontal="center" vertical="center"/>
    </xf>
    <xf numFmtId="0" fontId="22" fillId="5" borderId="2" applyAlignment="1" pivotButton="0" quotePrefix="0" xfId="0">
      <alignment horizontal="center" vertical="center"/>
    </xf>
    <xf numFmtId="0" fontId="23" fillId="5" borderId="2" applyAlignment="1" pivotButton="0" quotePrefix="0" xfId="0">
      <alignment horizontal="center" vertical="center"/>
    </xf>
    <xf numFmtId="0" fontId="23" fillId="5" borderId="2" applyAlignment="1" pivotButton="0" quotePrefix="0" xfId="0">
      <alignment horizontal="left" vertical="center"/>
    </xf>
    <xf numFmtId="0" fontId="25" fillId="5" borderId="2" applyAlignment="1" pivotButton="0" quotePrefix="0" xfId="0">
      <alignment horizontal="left" vertical="center"/>
    </xf>
    <xf numFmtId="0" fontId="26" fillId="5" borderId="2" applyAlignment="1" pivotButton="0" quotePrefix="0" xfId="0">
      <alignment horizontal="center" vertical="center"/>
    </xf>
    <xf numFmtId="0" fontId="27" fillId="5" borderId="2" applyAlignment="1" pivotButton="0" quotePrefix="0" xfId="0">
      <alignment horizontal="left" vertical="center"/>
    </xf>
    <xf numFmtId="0" fontId="26" fillId="26" borderId="2" applyAlignment="1" pivotButton="0" quotePrefix="0" xfId="0">
      <alignment horizontal="center" vertical="center"/>
    </xf>
    <xf numFmtId="0" fontId="21" fillId="26" borderId="2" applyAlignment="1" pivotButton="0" quotePrefix="0" xfId="0">
      <alignment horizontal="left" vertical="center"/>
    </xf>
    <xf numFmtId="0" fontId="21" fillId="5" borderId="2" applyAlignment="1" pivotButton="0" quotePrefix="0" xfId="0">
      <alignment horizontal="left" vertical="center"/>
    </xf>
    <xf numFmtId="0" fontId="28" fillId="5" borderId="2" applyAlignment="1" pivotButton="0" quotePrefix="0" xfId="0">
      <alignment horizontal="center" vertical="center"/>
    </xf>
    <xf numFmtId="0" fontId="28" fillId="26" borderId="2" applyAlignment="1" pivotButton="0" quotePrefix="0" xfId="0">
      <alignment horizontal="center" vertical="center"/>
    </xf>
    <xf numFmtId="0" fontId="30" fillId="5" borderId="2" applyAlignment="1" pivotButton="0" quotePrefix="0" xfId="0">
      <alignment horizontal="center" vertical="center"/>
    </xf>
    <xf numFmtId="0" fontId="30" fillId="26" borderId="2" applyAlignment="1" pivotButton="0" quotePrefix="0" xfId="0">
      <alignment horizontal="center" vertical="center"/>
    </xf>
    <xf numFmtId="0" fontId="33" fillId="0" borderId="0" applyAlignment="1" pivotButton="0" quotePrefix="0" xfId="0">
      <alignment vertical="top" wrapText="1"/>
    </xf>
    <xf numFmtId="0" fontId="34" fillId="0" borderId="0" applyAlignment="1" pivotButton="0" quotePrefix="0" xfId="0">
      <alignment vertical="top" wrapText="1"/>
    </xf>
    <xf numFmtId="0" fontId="36" fillId="0" borderId="0" applyAlignment="1" pivotButton="0" quotePrefix="0" xfId="0">
      <alignment vertical="top" wrapText="1"/>
    </xf>
    <xf numFmtId="0" fontId="37" fillId="0" borderId="0" applyAlignment="1" pivotButton="0" quotePrefix="0" xfId="0">
      <alignment vertical="top" wrapText="1"/>
    </xf>
    <xf numFmtId="0" fontId="35" fillId="32" borderId="10" pivotButton="0" quotePrefix="0" xfId="0"/>
    <xf numFmtId="0" fontId="36" fillId="0" borderId="10" applyAlignment="1" pivotButton="0" quotePrefix="0" xfId="0">
      <alignment vertical="top"/>
    </xf>
    <xf numFmtId="0" fontId="37" fillId="0" borderId="10" applyAlignment="1" pivotButton="0" quotePrefix="0" xfId="0">
      <alignment vertical="top" wrapText="1"/>
    </xf>
    <xf numFmtId="0" fontId="35" fillId="33" borderId="0" pivotButton="0" quotePrefix="0" xfId="0"/>
    <xf numFmtId="0" fontId="0" fillId="0" borderId="0" pivotButton="0" quotePrefix="0" xfId="0"/>
    <xf numFmtId="0" fontId="32" fillId="33" borderId="0" pivotButton="0" quotePrefix="0" xfId="0"/>
    <xf numFmtId="0" fontId="31" fillId="32" borderId="0" pivotButton="0" quotePrefix="0" xfId="0"/>
    <xf numFmtId="0" fontId="8" fillId="10" borderId="1" applyAlignment="1" pivotButton="0" quotePrefix="0" xfId="0">
      <alignment horizontal="left" vertical="center" wrapText="1"/>
    </xf>
    <xf numFmtId="0" fontId="0" fillId="0" borderId="5" pivotButton="0" quotePrefix="0" xfId="0"/>
    <xf numFmtId="0" fontId="0" fillId="0" borderId="6" pivotButton="0" quotePrefix="0" xfId="0"/>
    <xf numFmtId="0" fontId="6" fillId="2" borderId="0" applyAlignment="1" pivotButton="0" quotePrefix="0" xfId="0">
      <alignment horizontal="center" vertical="center" wrapText="1"/>
    </xf>
    <xf numFmtId="0" fontId="8" fillId="16" borderId="1" applyAlignment="1" pivotButton="0" quotePrefix="0" xfId="0">
      <alignment horizontal="left" vertical="center" wrapText="1"/>
    </xf>
    <xf numFmtId="0" fontId="2" fillId="3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center"/>
    </xf>
    <xf numFmtId="0" fontId="8" fillId="14" borderId="1" applyAlignment="1" pivotButton="0" quotePrefix="0" xfId="0">
      <alignment horizontal="left" vertical="center" wrapText="1"/>
    </xf>
    <xf numFmtId="0" fontId="3" fillId="2" borderId="0" applyAlignment="1" pivotButton="0" quotePrefix="0" xfId="0">
      <alignment horizontal="center" vertical="center" wrapText="1"/>
    </xf>
    <xf numFmtId="0" fontId="8" fillId="12" borderId="1" applyAlignment="1" pivotButton="0" quotePrefix="0" xfId="0">
      <alignment horizontal="left" vertical="center" wrapText="1"/>
    </xf>
    <xf numFmtId="0" fontId="1" fillId="2" borderId="0" applyAlignment="1" pivotButton="0" quotePrefix="0" xfId="0">
      <alignment horizontal="center" vertical="center"/>
    </xf>
    <xf numFmtId="0" fontId="10" fillId="6" borderId="0" applyAlignment="1" pivotButton="0" quotePrefix="0" xfId="0">
      <alignment horizontal="left" vertical="center" wrapText="1"/>
    </xf>
    <xf numFmtId="0" fontId="8" fillId="8" borderId="1" applyAlignment="1" pivotButton="0" quotePrefix="0" xfId="0">
      <alignment horizontal="left" vertical="center" wrapText="1"/>
    </xf>
    <xf numFmtId="0" fontId="4" fillId="4" borderId="0" applyAlignment="1" pivotButton="0" quotePrefix="0" xfId="0">
      <alignment horizontal="center" vertical="center" wrapText="1"/>
    </xf>
    <xf numFmtId="0" fontId="3" fillId="4" borderId="3" applyAlignment="1" pivotButton="0" quotePrefix="0" xfId="0">
      <alignment horizontal="center" vertical="center" wrapText="1"/>
    </xf>
    <xf numFmtId="0" fontId="0" fillId="0" borderId="3" pivotButton="0" quotePrefix="0" xfId="0"/>
    <xf numFmtId="0" fontId="3" fillId="4" borderId="0" applyAlignment="1" pivotButton="0" quotePrefix="0" xfId="0">
      <alignment horizontal="center" vertical="center" wrapText="1"/>
    </xf>
    <xf numFmtId="0" fontId="2" fillId="3" borderId="0" applyAlignment="1" pivotButton="0" quotePrefix="0" xfId="0">
      <alignment horizontal="left" vertical="center" wrapText="1"/>
    </xf>
    <xf numFmtId="0" fontId="0" fillId="5" borderId="0" pivotButton="0" quotePrefix="0" xfId="0"/>
    <xf numFmtId="0" fontId="9" fillId="24" borderId="4" applyAlignment="1" pivotButton="0" quotePrefix="0" xfId="0">
      <alignment horizontal="center" vertical="center"/>
    </xf>
    <xf numFmtId="0" fontId="0" fillId="0" borderId="9" pivotButton="0" quotePrefix="0" xfId="0"/>
    <xf numFmtId="0" fontId="9" fillId="22" borderId="4" applyAlignment="1" pivotButton="0" quotePrefix="0" xfId="0">
      <alignment horizontal="center" vertical="center"/>
    </xf>
    <xf numFmtId="0" fontId="9" fillId="0" borderId="2" applyAlignment="1" pivotButton="0" quotePrefix="0" xfId="0">
      <alignment horizontal="left" vertical="center" wrapText="1"/>
    </xf>
    <xf numFmtId="0" fontId="0" fillId="0" borderId="7" pivotButton="0" quotePrefix="0" xfId="0"/>
    <xf numFmtId="0" fontId="0" fillId="0" borderId="8" pivotButton="0" quotePrefix="0" xfId="0"/>
    <xf numFmtId="0" fontId="12" fillId="25" borderId="0" applyAlignment="1" pivotButton="0" quotePrefix="0" xfId="0">
      <alignment horizontal="left" vertical="center" wrapText="1"/>
    </xf>
    <xf numFmtId="0" fontId="9" fillId="23" borderId="4" applyAlignment="1" pivotButton="0" quotePrefix="0" xfId="0">
      <alignment horizontal="center" vertical="center"/>
    </xf>
    <xf numFmtId="0" fontId="5" fillId="6" borderId="0" applyAlignment="1" pivotButton="0" quotePrefix="0" xfId="0">
      <alignment horizontal="center" vertical="center"/>
    </xf>
    <xf numFmtId="0" fontId="11" fillId="26" borderId="2" applyAlignment="1" pivotButton="0" quotePrefix="0" xfId="0">
      <alignment horizontal="center" vertical="center"/>
    </xf>
    <xf numFmtId="0" fontId="11" fillId="5" borderId="2" applyAlignment="1" pivotButton="0" quotePrefix="0" xfId="0">
      <alignment horizontal="center" vertical="center"/>
    </xf>
    <xf numFmtId="0" fontId="5" fillId="26" borderId="2" applyAlignment="1" pivotButton="0" quotePrefix="0" xfId="0">
      <alignment horizontal="center" vertical="center"/>
    </xf>
    <xf numFmtId="0" fontId="9" fillId="5" borderId="2" applyAlignment="1" pivotButton="0" quotePrefix="0" xfId="0">
      <alignment horizontal="center" vertical="center"/>
    </xf>
    <xf numFmtId="0" fontId="5" fillId="5" borderId="2" applyAlignment="1" pivotButton="0" quotePrefix="0" xfId="0">
      <alignment horizontal="center" vertical="center"/>
    </xf>
    <xf numFmtId="0" fontId="9" fillId="26" borderId="2" applyAlignment="1" pivotButton="0" quotePrefix="0" xfId="0">
      <alignment horizontal="center" vertical="center"/>
    </xf>
    <xf numFmtId="0" fontId="13" fillId="27" borderId="0" applyAlignment="1" pivotButton="0" quotePrefix="0" xfId="0">
      <alignment horizontal="left" vertical="center"/>
    </xf>
    <xf numFmtId="0" fontId="15" fillId="28" borderId="0" applyAlignment="1" pivotButton="0" quotePrefix="0" xfId="0">
      <alignment wrapText="1"/>
    </xf>
    <xf numFmtId="2" fontId="5" fillId="6" borderId="0" applyAlignment="1" pivotButton="0" quotePrefix="0" xfId="0">
      <alignment horizontal="center" vertical="center"/>
    </xf>
    <xf numFmtId="0" fontId="2" fillId="31" borderId="0" applyAlignment="1" pivotButton="0" quotePrefix="0" xfId="0">
      <alignment horizontal="left" vertical="center" wrapText="1"/>
    </xf>
    <xf numFmtId="0" fontId="30" fillId="5" borderId="4" applyAlignment="1" pivotButton="0" quotePrefix="0" xfId="0">
      <alignment horizontal="left" vertical="center"/>
    </xf>
    <xf numFmtId="0" fontId="30" fillId="26" borderId="4" applyAlignment="1" pivotButton="0" quotePrefix="0" xfId="0">
      <alignment horizontal="left" vertical="center"/>
    </xf>
    <xf numFmtId="0" fontId="29" fillId="26" borderId="4" applyAlignment="1" pivotButton="0" quotePrefix="0" xfId="0">
      <alignment horizontal="left" vertical="center"/>
    </xf>
    <xf numFmtId="0" fontId="17" fillId="31" borderId="0" applyAlignment="1" pivotButton="0" quotePrefix="0" xfId="0">
      <alignment horizontal="left" vertical="center" wrapText="1"/>
    </xf>
    <xf numFmtId="0" fontId="23" fillId="26" borderId="4" applyAlignment="1" pivotButton="0" quotePrefix="0" xfId="0">
      <alignment horizontal="left" vertical="center"/>
    </xf>
    <xf numFmtId="0" fontId="23" fillId="5" borderId="4" applyAlignment="1" pivotButton="0" quotePrefix="0" xfId="0">
      <alignment horizontal="left" vertical="center"/>
    </xf>
    <xf numFmtId="0" fontId="29" fillId="5" borderId="4" applyAlignment="1" pivotButton="0" quotePrefix="0" xfId="0">
      <alignment horizontal="left" vertical="center"/>
    </xf>
  </cellXfs>
  <cellStyles count="2">
    <cellStyle name="Normal" xfId="0" builtinId="0"/>
    <cellStyle name="Lien hypertexte" xfId="1" builtinId="8"/>
  </cellStyles>
  <tableStyles count="0" defaultTableStyle="TableStyleMedium2" defaultPivotStyle="PivotStyleLight16"/>
  <colors>
    <indexedColors>
      <rgbColor rgb="FF000000"/>
      <rgbColor rgb="FFFFFFFF"/>
      <rgbColor rgb="FFFF2222"/>
      <rgbColor rgb="FF00FF00"/>
      <rgbColor rgb="FF0000FF"/>
      <rgbColor rgb="FFFFF3E0"/>
      <rgbColor rgb="FFFF00FF"/>
      <rgbColor rgb="FFF7F7F7"/>
      <rgbColor rgb="FF800000"/>
      <rgbColor rgb="FF1A6B2A"/>
      <rgbColor rgb="FF000080"/>
      <rgbColor rgb="FFB7500A"/>
      <rgbColor rgb="FF800080"/>
      <rgbColor rgb="FF00B050"/>
      <rgbColor rgb="FFCCCCCC"/>
      <rgbColor rgb="FF878787"/>
      <rgbColor rgb="FFF5EEF8"/>
      <rgbColor rgb="FF6C3483"/>
      <rgbColor rgb="FFFFF9E6"/>
      <rgbColor rgb="FFD6EAF8"/>
      <rgbColor rgb="FF5D4037"/>
      <rgbColor rgb="FFFF6666"/>
      <rgbColor rgb="FF2471A3"/>
      <rgbColor rgb="FFD9D9D9"/>
      <rgbColor rgb="FF000080"/>
      <rgbColor rgb="FFFF00FF"/>
      <rgbColor rgb="FFE8F4E8"/>
      <rgbColor rgb="FFF8F8F8"/>
      <rgbColor rgb="FF800080"/>
      <rgbColor rgb="FF800000"/>
      <rgbColor rgb="FF555555"/>
      <rgbColor rgb="FF0000FF"/>
      <rgbColor rgb="FFFDECEA"/>
      <rgbColor rgb="FFEBF5FB"/>
      <rgbColor rgb="FFE0F0E0"/>
      <rgbColor rgb="FFFFFFAA"/>
      <rgbColor rgb="FFDDDDDD"/>
      <rgbColor rgb="FFFFAAAA"/>
      <rgbColor rgb="FFE0E0FF"/>
      <rgbColor rgb="FFFFD5D5"/>
      <rgbColor rgb="FF3498DB"/>
      <rgbColor rgb="FFF0F4F8"/>
      <rgbColor rgb="FFFFE8E8"/>
      <rgbColor rgb="FFFFE0E0"/>
      <rgbColor rgb="FFE74C3C"/>
      <rgbColor rgb="FFE67E22"/>
      <rgbColor rgb="FF4F81BD"/>
      <rgbColor rgb="FF888888"/>
      <rgbColor rgb="FF0F3460"/>
      <rgbColor rgb="FF27AE60"/>
      <rgbColor rgb="FF16213E"/>
      <rgbColor rgb="FF1A1A2E"/>
      <rgbColor rgb="FFC0392B"/>
      <rgbColor rgb="FF8E44AD"/>
      <rgbColor rgb="FF154360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styles" Target="styles.xml" Id="rId10"/><Relationship Type="http://schemas.openxmlformats.org/officeDocument/2006/relationships/theme" Target="theme/theme1.xml" Id="rId11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 xml:space="preserve">Distribution des scores   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layout/>
      <barChart>
        <barDir val="col"/>
        <grouping val="clustered"/>
        <varyColors val="0"/>
        <ser>
          <idx val="0"/>
          <order val="0"/>
          <tx>
            <strRef>
              <f>F1_Synthese_Globale!$B$14</f>
              <strCache>
                <ptCount val="1"/>
                <pt idx="0">
                  <v>N</v>
                </pt>
              </strCache>
            </strRef>
          </tx>
          <spPr>
            <a:solidFill xmlns:a="http://schemas.openxmlformats.org/drawingml/2006/main">
              <a:srgbClr val="3498DB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F1_Synthese_Globale!$A$15:$A$25</f>
              <strCache>
                <ptCount val="11"/>
                <pt idx="0">
                  <v>0–9</v>
                </pt>
                <pt idx="1">
                  <v>10–19</v>
                </pt>
                <pt idx="2">
                  <v>20–29</v>
                </pt>
                <pt idx="3">
                  <v>30–39</v>
                </pt>
                <pt idx="4">
                  <v>40–49</v>
                </pt>
                <pt idx="5">
                  <v>50</v>
                </pt>
                <pt idx="6">
                  <v>51–59</v>
                </pt>
                <pt idx="7">
                  <v>60–69</v>
                </pt>
                <pt idx="8">
                  <v>70–79</v>
                </pt>
                <pt idx="9">
                  <v>80–89</v>
                </pt>
                <pt idx="10">
                  <v>90–99</v>
                </pt>
              </strCache>
            </strRef>
          </cat>
          <val>
            <numRef>
              <f>F1_Synthese_Globale!$B$15:$B$25</f>
              <numCache>
                <formatCode>General</formatCode>
                <ptCount val="11"/>
                <pt idx="0">
                  <v>0</v>
                </pt>
                <pt idx="1">
                  <v>1</v>
                </pt>
                <pt idx="2">
                  <v>21</v>
                </pt>
                <pt idx="3">
                  <v>72</v>
                </pt>
                <pt idx="4">
                  <v>464</v>
                </pt>
                <pt idx="5">
                  <v>390</v>
                </pt>
                <pt idx="6">
                  <v>29</v>
                </pt>
                <pt idx="7">
                  <v>6</v>
                </pt>
                <pt idx="8">
                  <v>3</v>
                </pt>
                <pt idx="9">
                  <v>0</v>
                </pt>
                <pt idx="10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81808311"/>
        <axId val="68428074"/>
      </barChart>
      <catAx>
        <axId val="81808311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68428074"/>
        <crosses val="autoZero"/>
        <auto val="1"/>
        <lblAlgn val="ctr"/>
        <lblOffset val="100"/>
        <noMultiLvlLbl val="0"/>
      </catAx>
      <valAx>
        <axId val="68428074"/>
        <scaling>
          <orientation val="minMax"/>
        </scaling>
        <delete val="0"/>
        <axPos val="l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-540000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N publications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81808311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charts/chart2.xml><?xml version="1.0" encoding="utf-8"?>
<chartSpace xmlns="http://schemas.openxmlformats.org/drawingml/2006/chart">
  <chart>
    <plotArea>
      <layout/>
      <barChart>
        <barDir val="col"/>
        <grouping val="clustered"/>
        <varyColors val="0"/>
        <ser>
          <idx val="0"/>
          <order val="0"/>
          <tx>
            <strRef>
              <f>F1_Synthese_Globale!$B$14</f>
              <strCache>
                <ptCount val="1"/>
                <pt idx="0">
                  <v>N</v>
                </pt>
              </strCache>
            </strRef>
          </tx>
          <spPr>
            <a:solidFill xmlns:a="http://schemas.openxmlformats.org/drawingml/2006/main">
              <a:srgbClr val="3498DB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F1_Synthese_Globale!$A$15:$A$25</f>
              <strCache>
                <ptCount val="11"/>
                <pt idx="0">
                  <v>0–9</v>
                </pt>
                <pt idx="1">
                  <v>10–19</v>
                </pt>
                <pt idx="2">
                  <v>20–29</v>
                </pt>
                <pt idx="3">
                  <v>30–39</v>
                </pt>
                <pt idx="4">
                  <v>40–49</v>
                </pt>
                <pt idx="5">
                  <v>50</v>
                </pt>
                <pt idx="6">
                  <v>51–59</v>
                </pt>
                <pt idx="7">
                  <v>60–69</v>
                </pt>
                <pt idx="8">
                  <v>70–79</v>
                </pt>
                <pt idx="9">
                  <v>80–89</v>
                </pt>
                <pt idx="10">
                  <v>90–99</v>
                </pt>
              </strCache>
            </strRef>
          </cat>
          <val>
            <numRef>
              <f>F1_Synthese_Globale!$B$15:$B$25</f>
              <numCache>
                <formatCode>General</formatCode>
                <ptCount val="11"/>
                <pt idx="0">
                  <v>0</v>
                </pt>
                <pt idx="1">
                  <v>1</v>
                </pt>
                <pt idx="2">
                  <v>21</v>
                </pt>
                <pt idx="3">
                  <v>72</v>
                </pt>
                <pt idx="4">
                  <v>464</v>
                </pt>
                <pt idx="5">
                  <v>390</v>
                </pt>
                <pt idx="6">
                  <v>29</v>
                </pt>
                <pt idx="7">
                  <v>6</v>
                </pt>
                <pt idx="8">
                  <v>3</v>
                </pt>
                <pt idx="9">
                  <v>0</v>
                </pt>
                <pt idx="10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67510981"/>
        <axId val="24122902"/>
      </barChart>
      <catAx>
        <axId val="67510981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24122902"/>
        <crosses val="autoZero"/>
        <auto val="1"/>
        <lblAlgn val="ctr"/>
        <lblOffset val="100"/>
        <noMultiLvlLbl val="0"/>
      </catAx>
      <valAx>
        <axId val="24122902"/>
        <scaling>
          <orientation val="minMax"/>
        </scaling>
        <delete val="0"/>
        <axPos val="l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-540000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N publications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67510981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Ratio Critique par Thème (% passages critiques/analysés)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layout/>
      <barChart>
        <barDir val="bar"/>
        <grouping val="clustered"/>
        <varyColors val="0"/>
        <ser>
          <idx val="0"/>
          <order val="0"/>
          <tx>
            <strRef>
              <f>F5_Critique_Commentaires!$D$17</f>
              <strCache>
                <ptCount val="1"/>
                <pt idx="0">
                  <v>Ratio %</v>
                </pt>
              </strCache>
            </strRef>
          </tx>
          <spPr>
            <a:solidFill xmlns:a="http://schemas.openxmlformats.org/drawingml/2006/main">
              <a:srgbClr val="E67E22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F5_Critique_Commentaires!$C$18:$C$25</f>
              <strCache>
                <ptCount val="8"/>
                <pt idx="0">
                  <v>Culture &amp; Loisirs</v>
                </pt>
                <pt idx="1">
                  <v>Economie &amp; Travail</v>
                </pt>
                <pt idx="2">
                  <v>Environnement &amp; Nature</v>
                </pt>
                <pt idx="3">
                  <v>International</v>
                </pt>
                <pt idx="4">
                  <v>Politique &amp; Institutions</v>
                </pt>
                <pt idx="5">
                  <v>Sante</v>
                </pt>
                <pt idx="6">
                  <v>Securite &amp; Justice</v>
                </pt>
                <pt idx="7">
                  <v>Societe &amp; Droits</v>
                </pt>
              </strCache>
            </strRef>
          </cat>
          <val>
            <numRef>
              <f>F5_Critique_Commentaires!$D$18:$D$25</f>
              <numCache>
                <formatCode>General</formatCode>
                <ptCount val="8"/>
                <pt idx="0">
                  <v>6.5</v>
                </pt>
                <pt idx="1">
                  <v>7.2</v>
                </pt>
                <pt idx="2">
                  <v>11.4</v>
                </pt>
                <pt idx="3">
                  <v>14.1</v>
                </pt>
                <pt idx="4">
                  <v>7</v>
                </pt>
                <pt idx="5">
                  <v>11.9</v>
                </pt>
                <pt idx="6">
                  <v>8.4</v>
                </pt>
                <pt idx="7">
                  <v>9.300000000000001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67623630"/>
        <axId val="53458971"/>
      </barChart>
      <catAx>
        <axId val="67623630"/>
        <scaling>
          <orientation val="minMax"/>
        </scaling>
        <delete val="0"/>
        <axPos val="l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53458971"/>
        <crosses val="autoZero"/>
        <auto val="1"/>
        <lblAlgn val="ctr"/>
        <lblOffset val="100"/>
        <noMultiLvlLbl val="0"/>
      </catAx>
      <valAx>
        <axId val="53458971"/>
        <scaling>
          <orientation val="minMax"/>
        </scaling>
        <delete val="0"/>
        <axPos val="b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% posts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67623630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% Publications critiquées par thème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layout/>
      <barChart>
        <barDir val="bar"/>
        <grouping val="clustered"/>
        <varyColors val="0"/>
        <ser>
          <idx val="0"/>
          <order val="0"/>
          <tx>
            <strRef>
              <f>F5_Critique_Commentaires!$B$17</f>
              <strCache>
                <ptCount val="1"/>
                <pt idx="0">
                  <v>% posts critiqués</v>
                </pt>
              </strCache>
            </strRef>
          </tx>
          <spPr>
            <a:solidFill xmlns:a="http://schemas.openxmlformats.org/drawingml/2006/main">
              <a:srgbClr val="8E44AD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F5_Critique_Commentaires!$A$18:$A$23</f>
              <strCache>
                <ptCount val="6"/>
                <pt idx="0">
                  <v>Culture &amp; Loisirs</v>
                </pt>
                <pt idx="1">
                  <v>Economie &amp; Travail</v>
                </pt>
                <pt idx="2">
                  <v>Environnement &amp; Nature</v>
                </pt>
                <pt idx="3">
                  <v>International</v>
                </pt>
                <pt idx="4">
                  <v>Politique &amp; Institutions</v>
                </pt>
                <pt idx="5">
                  <v>Sante</v>
                </pt>
              </strCache>
            </strRef>
          </cat>
          <val>
            <numRef>
              <f>F5_Critique_Commentaires!$B$18:$B$23</f>
              <numCache>
                <formatCode>General</formatCode>
                <ptCount val="6"/>
                <pt idx="0">
                  <v>35.3</v>
                </pt>
                <pt idx="1">
                  <v>36.6</v>
                </pt>
                <pt idx="2">
                  <v>48.2</v>
                </pt>
                <pt idx="3">
                  <v>57.5</v>
                </pt>
                <pt idx="4">
                  <v>27.2</v>
                </pt>
                <pt idx="5">
                  <v>46.1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64574431"/>
        <axId val="20647125"/>
      </barChart>
      <catAx>
        <axId val="64574431"/>
        <scaling>
          <orientation val="minMax"/>
        </scaling>
        <delete val="0"/>
        <axPos val="l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20647125"/>
        <crosses val="autoZero"/>
        <auto val="1"/>
        <lblAlgn val="ctr"/>
        <lblOffset val="100"/>
        <noMultiLvlLbl val="0"/>
      </catAx>
      <valAx>
        <axId val="20647125"/>
        <scaling>
          <orientation val="minMax"/>
        </scaling>
        <delete val="0"/>
        <axPos val="b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% posts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64574431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charts/chart5.xml><?xml version="1.0" encoding="utf-8"?>
<chartSpace xmlns="http://schemas.openxmlformats.org/drawingml/2006/chart">
  <chart>
    <plotArea>
      <layout/>
      <barChart>
        <barDir val="col"/>
        <grouping val="clustered"/>
        <varyColors val="0"/>
        <ser>
          <idx val="0"/>
          <order val="0"/>
          <tx>
            <strRef>
              <f>F5_Critique_Commentaires!$B$43</f>
              <strCache>
                <ptCount val="1"/>
                <pt idx="0">
                  <v>% Critique</v>
                </pt>
              </strCache>
            </strRef>
          </tx>
          <spPr>
            <a:solidFill xmlns:a="http://schemas.openxmlformats.org/drawingml/2006/main">
              <a:srgbClr val="E67E22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F5_Critique_Commentaires!$A$44:$A$48</f>
              <strCache>
                <ptCount val="5"/>
                <pt idx="0">
                  <v>Gauche (&lt;40)</v>
                </pt>
                <pt idx="1">
                  <v>Modérés 40-49</v>
                </pt>
                <pt idx="2">
                  <v>Score=50</v>
                </pt>
                <pt idx="3">
                  <v>Modérés 51-60</v>
                </pt>
                <pt idx="4">
                  <v>Droite (&gt;60)</v>
                </pt>
              </strCache>
            </strRef>
          </cat>
          <val>
            <numRef>
              <f>F5_Critique_Commentaires!$B$44:$B$48</f>
              <numCache>
                <formatCode>General</formatCode>
                <ptCount val="5"/>
                <pt idx="0">
                  <v>58.51063829787234</v>
                </pt>
                <pt idx="1">
                  <v>41.03671706263499</v>
                </pt>
                <pt idx="2">
                  <v>32.05128205128205</v>
                </pt>
                <pt idx="3">
                  <v>57.57575757575758</v>
                </pt>
                <pt idx="4">
                  <v>60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34778366"/>
        <axId val="92254429"/>
      </barChart>
      <catAx>
        <axId val="34778366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92254429"/>
        <crosses val="autoZero"/>
        <auto val="1"/>
        <lblAlgn val="ctr"/>
        <lblOffset val="100"/>
        <noMultiLvlLbl val="0"/>
      </catAx>
      <valAx>
        <axId val="92254429"/>
        <scaling>
          <orientation val="minMax"/>
        </scaling>
        <delete val="0"/>
        <axPos val="l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-540000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% critiqués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34778366"/>
        <crosses val="autoZero"/>
        <crossBetween val="between"/>
      </valAx>
    </plotArea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charts/chart6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Publications par catégorie vs distribution attendue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layout/>
      <barChart>
        <barDir val="bar"/>
        <grouping val="clustered"/>
        <varyColors val="0"/>
        <ser>
          <idx val="0"/>
          <order val="0"/>
          <tx>
            <strRef>
              <f>F6_Frequence_Thematique!$B$41</f>
              <strCache>
                <ptCount val="1"/>
                <pt idx="0">
                  <v>N réel</v>
                </pt>
              </strCache>
            </strRef>
          </tx>
          <spPr>
            <a:solidFill xmlns:a="http://schemas.openxmlformats.org/drawingml/2006/main">
              <a:srgbClr val="3498DB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F6_Frequence_Thematique!$A$42:$A$49</f>
              <strCache>
                <ptCount val="8"/>
                <pt idx="0">
                  <v>Culture &amp; Loisirs</v>
                </pt>
                <pt idx="1">
                  <v>Societe &amp; Droits</v>
                </pt>
                <pt idx="2">
                  <v>Securite &amp; Justice</v>
                </pt>
                <pt idx="3">
                  <v>International</v>
                </pt>
                <pt idx="4">
                  <v>Environnement &amp; Nature</v>
                </pt>
                <pt idx="5">
                  <v>Sante</v>
                </pt>
                <pt idx="6">
                  <v>Politique &amp; Institutions</v>
                </pt>
                <pt idx="7">
                  <v>Economie &amp; Travail</v>
                </pt>
              </strCache>
            </strRef>
          </cat>
          <val>
            <numRef>
              <f>F6_Frequence_Thematique!$B$42:$B$49</f>
              <numCache>
                <formatCode>General</formatCode>
                <ptCount val="8"/>
                <pt idx="0">
                  <v>190</v>
                </pt>
                <pt idx="1">
                  <v>189</v>
                </pt>
                <pt idx="2">
                  <v>136</v>
                </pt>
                <pt idx="3">
                  <v>120</v>
                </pt>
                <pt idx="4">
                  <v>110</v>
                </pt>
                <pt idx="5">
                  <v>89</v>
                </pt>
                <pt idx="6">
                  <v>81</v>
                </pt>
                <pt idx="7">
                  <v>71</v>
                </pt>
              </numCache>
            </numRef>
          </val>
        </ser>
        <ser>
          <idx val="1"/>
          <order val="1"/>
          <tx>
            <strRef>
              <f>F6_Frequence_Thematique!$C$41</f>
              <strCache>
                <ptCount val="1"/>
                <pt idx="0">
                  <v>N attendu (uniforme)</v>
                </pt>
              </strCache>
            </strRef>
          </tx>
          <spPr>
            <a:solidFill xmlns:a="http://schemas.openxmlformats.org/drawingml/2006/main">
              <a:srgbClr val="E74C3C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F6_Frequence_Thematique!$A$42:$A$49</f>
              <strCache>
                <ptCount val="8"/>
                <pt idx="0">
                  <v>Culture &amp; Loisirs</v>
                </pt>
                <pt idx="1">
                  <v>Societe &amp; Droits</v>
                </pt>
                <pt idx="2">
                  <v>Securite &amp; Justice</v>
                </pt>
                <pt idx="3">
                  <v>International</v>
                </pt>
                <pt idx="4">
                  <v>Environnement &amp; Nature</v>
                </pt>
                <pt idx="5">
                  <v>Sante</v>
                </pt>
                <pt idx="6">
                  <v>Politique &amp; Institutions</v>
                </pt>
                <pt idx="7">
                  <v>Economie &amp; Travail</v>
                </pt>
              </strCache>
            </strRef>
          </cat>
          <val>
            <numRef>
              <f>F6_Frequence_Thematique!$C$42:$C$49</f>
              <numCache>
                <formatCode>General</formatCode>
                <ptCount val="8"/>
                <pt idx="0">
                  <v>123</v>
                </pt>
                <pt idx="1">
                  <v>123</v>
                </pt>
                <pt idx="2">
                  <v>123</v>
                </pt>
                <pt idx="3">
                  <v>123</v>
                </pt>
                <pt idx="4">
                  <v>123</v>
                </pt>
                <pt idx="5">
                  <v>123</v>
                </pt>
                <pt idx="6">
                  <v>123</v>
                </pt>
                <pt idx="7">
                  <v>123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89467393"/>
        <axId val="87177893"/>
      </barChart>
      <catAx>
        <axId val="89467393"/>
        <scaling>
          <orientation val="minMax"/>
        </scaling>
        <delete val="0"/>
        <axPos val="l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87177893"/>
        <crosses val="autoZero"/>
        <auto val="1"/>
        <lblAlgn val="ctr"/>
        <lblOffset val="100"/>
        <noMultiLvlLbl val="0"/>
      </catAx>
      <valAx>
        <axId val="87177893"/>
        <scaling>
          <orientation val="minMax"/>
        </scaling>
        <delete val="0"/>
        <axPos val="b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N posts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89467393"/>
        <crosses val="autoZero"/>
        <crossBetween val="between"/>
      </valAx>
    </plotArea>
    <legend>
      <legendPos val="b"/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  <txPr>
        <a:bodyPr xmlns:a="http://schemas.openxmlformats.org/drawingml/2006/main"/>
        <a:lstStyle xmlns:a="http://schemas.openxmlformats.org/drawingml/2006/main"/>
        <a:p xmlns:a="http://schemas.openxmlformats.org/drawingml/2006/main"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r>
            <a:t/>
          </a:r>
          <a:endParaRPr lang="en-US"/>
        </a:p>
      </txPr>
    </legend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charts/chart7.xml><?xml version="1.0" encoding="utf-8"?>
<chartSpace xmlns="http://schemas.openxmlformats.org/drawingml/2006/chart">
  <chart>
    <title>
      <tx>
        <rich>
          <a:bodyPr xmlns:a="http://schemas.openxmlformats.org/drawingml/2006/main" rot="0"/>
          <a:lstStyle xmlns:a="http://schemas.openxmlformats.org/drawingml/2006/main"/>
          <a:p xmlns:a="http://schemas.openxmlformats.org/drawingml/2006/main"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Top 12 sous-catégories vs distribution attendue</a:t>
            </a:r>
          </a:p>
        </rich>
      </tx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</title>
    <plotArea>
      <layout/>
      <barChart>
        <barDir val="bar"/>
        <grouping val="clustered"/>
        <varyColors val="0"/>
        <ser>
          <idx val="0"/>
          <order val="0"/>
          <tx>
            <strRef>
              <f>F6_Frequence_Thematique!$G$41</f>
              <strCache>
                <ptCount val="1"/>
                <pt idx="0">
                  <v>%</v>
                </pt>
              </strCache>
            </strRef>
          </tx>
          <spPr>
            <a:solidFill xmlns:a="http://schemas.openxmlformats.org/drawingml/2006/main">
              <a:srgbClr val="8E44AD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F6_Frequence_Thematique!$F$42:$F$49</f>
              <strCache>
                <ptCount val="8"/>
                <pt idx="0">
                  <v>Societe &amp; Droits</v>
                </pt>
                <pt idx="1">
                  <v>Environnement &amp; Nature</v>
                </pt>
                <pt idx="2">
                  <v>Culture &amp; Loisirs</v>
                </pt>
                <pt idx="3">
                  <v>Societe &amp; Droits</v>
                </pt>
                <pt idx="4">
                  <v>Economie &amp; Travail</v>
                </pt>
                <pt idx="5">
                  <v>Societe &amp; Droits</v>
                </pt>
                <pt idx="6">
                  <v>Environnement &amp; Nature</v>
                </pt>
                <pt idx="7">
                  <v>Sante</v>
                </pt>
              </strCache>
            </strRef>
          </cat>
          <val>
            <numRef>
              <f>F6_Frequence_Thematique!$G$42:$G$49</f>
              <numCache>
                <formatCode>General</formatCode>
                <ptCount val="8"/>
                <pt idx="0">
                  <v>14.6</v>
                </pt>
                <pt idx="1">
                  <v>10.6</v>
                </pt>
                <pt idx="2">
                  <v>9.800000000000001</v>
                </pt>
                <pt idx="3">
                  <v>1.2</v>
                </pt>
                <pt idx="4">
                  <v>1.1</v>
                </pt>
                <pt idx="5">
                  <v>1</v>
                </pt>
                <pt idx="6">
                  <v>0.5</v>
                </pt>
                <pt idx="7">
                  <v>0.3</v>
                </pt>
              </numCache>
            </numRef>
          </val>
        </ser>
        <ser>
          <idx val="1"/>
          <order val="1"/>
          <tx>
            <strRef>
              <f>F6_Frequence_Thematique!$H$41</f>
              <strCache>
                <ptCount val="1"/>
                <pt idx="0">
                  <v>% attendu</v>
                </pt>
              </strCache>
            </strRef>
          </tx>
          <spPr>
            <a:solidFill xmlns:a="http://schemas.openxmlformats.org/drawingml/2006/main">
              <a:srgbClr val="E74C3C"/>
            </a:solidFill>
            <a:ln xmlns:a="http://schemas.openxmlformats.org/drawingml/2006/main" w="0">
              <a:noFill/>
              <a:prstDash val="solid"/>
            </a:ln>
          </spPr>
          <invertIfNegative val="0"/>
          <dLbls>
            <spPr>
              <a:noFill xmlns:a="http://schemas.openxmlformats.org/drawingml/2006/main"/>
              <a:ln xmlns:a="http://schemas.openxmlformats.org/drawingml/2006/main">
                <a:noFill/>
                <a:prstDash val="solid"/>
              </a:ln>
            </spPr>
            <txPr>
              <a:bodyPr xmlns:a="http://schemas.openxmlformats.org/drawingml/2006/main" wrap="square"/>
              <a:lstStyle xmlns:a="http://schemas.openxmlformats.org/drawingml/2006/main"/>
              <a:p xmlns:a="http://schemas.openxmlformats.org/drawingml/2006/main"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t/>
                </a:r>
                <a:endParaRPr lang="en-U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F6_Frequence_Thematique!$F$42:$F$49</f>
              <strCache>
                <ptCount val="8"/>
                <pt idx="0">
                  <v>Societe &amp; Droits</v>
                </pt>
                <pt idx="1">
                  <v>Environnement &amp; Nature</v>
                </pt>
                <pt idx="2">
                  <v>Culture &amp; Loisirs</v>
                </pt>
                <pt idx="3">
                  <v>Societe &amp; Droits</v>
                </pt>
                <pt idx="4">
                  <v>Economie &amp; Travail</v>
                </pt>
                <pt idx="5">
                  <v>Societe &amp; Droits</v>
                </pt>
                <pt idx="6">
                  <v>Environnement &amp; Nature</v>
                </pt>
                <pt idx="7">
                  <v>Sante</v>
                </pt>
              </strCache>
            </strRef>
          </cat>
          <val>
            <numRef>
              <f>F6_Frequence_Thematique!$H$42:$H$49</f>
              <numCache>
                <formatCode>General</formatCode>
                <ptCount val="8"/>
                <pt idx="0">
                  <v>4.5</v>
                </pt>
                <pt idx="1">
                  <v>4.5</v>
                </pt>
                <pt idx="2">
                  <v>4.5</v>
                </pt>
                <pt idx="3">
                  <v>4.5</v>
                </pt>
                <pt idx="4">
                  <v>4.5</v>
                </pt>
                <pt idx="5">
                  <v>4.5</v>
                </pt>
                <pt idx="6">
                  <v>4.5</v>
                </pt>
                <pt idx="7">
                  <v>4.5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axId val="97659640"/>
        <axId val="85118031"/>
      </barChart>
      <catAx>
        <axId val="97659640"/>
        <scaling>
          <orientation val="minMax"/>
        </scaling>
        <delete val="0"/>
        <axPos val="l"/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85118031"/>
        <crosses val="autoZero"/>
        <auto val="1"/>
        <lblAlgn val="ctr"/>
        <lblOffset val="100"/>
        <noMultiLvlLbl val="0"/>
      </catAx>
      <valAx>
        <axId val="85118031"/>
        <scaling>
          <orientation val="minMax"/>
        </scaling>
        <delete val="0"/>
        <axPos val="b"/>
        <majorGridlines>
          <spPr>
            <a:ln xmlns:a="http://schemas.openxmlformats.org/drawingml/2006/main" w="9360">
              <a:solidFill>
                <a:srgbClr val="878787"/>
              </a:solidFill>
              <a:prstDash val="solid"/>
              <a:round/>
            </a:ln>
          </spPr>
        </majorGridlines>
        <title>
          <tx>
            <rich>
              <a:bodyPr xmlns:a="http://schemas.openxmlformats.org/drawingml/2006/main" rot="0"/>
              <a:lstStyle xmlns:a="http://schemas.openxmlformats.org/drawingml/2006/main"/>
              <a:p xmlns:a="http://schemas.openxmlformats.org/drawingml/2006/main"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% posts</a:t>
                </a:r>
              </a:p>
            </rich>
          </tx>
          <overlay val="0"/>
          <spPr>
            <a:noFill xmlns:a="http://schemas.openxmlformats.org/drawingml/2006/main"/>
            <a:ln xmlns:a="http://schemas.openxmlformats.org/drawingml/2006/main"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xmlns:a="http://schemas.openxmlformats.org/drawingml/2006/main" w="9360">
            <a:solidFill>
              <a:srgbClr val="878787"/>
            </a:solidFill>
            <a:prstDash val="solid"/>
            <a:round/>
          </a:ln>
        </spPr>
        <txPr>
          <a:bodyPr xmlns:a="http://schemas.openxmlformats.org/drawingml/2006/main"/>
          <a:lstStyle xmlns:a="http://schemas.openxmlformats.org/drawingml/2006/main"/>
          <a:p xmlns:a="http://schemas.openxmlformats.org/drawingml/2006/main"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r>
              <a:t/>
            </a:r>
            <a:endParaRPr lang="en-US"/>
          </a:p>
        </txPr>
        <crossAx val="97659640"/>
        <crosses val="autoZero"/>
        <crossBetween val="between"/>
      </valAx>
    </plotArea>
    <legend>
      <legendPos val="b"/>
      <overlay val="0"/>
      <spPr>
        <a:noFill xmlns:a="http://schemas.openxmlformats.org/drawingml/2006/main"/>
        <a:ln xmlns:a="http://schemas.openxmlformats.org/drawingml/2006/main" w="0">
          <a:noFill/>
          <a:prstDash val="solid"/>
        </a:ln>
      </spPr>
      <txPr>
        <a:bodyPr xmlns:a="http://schemas.openxmlformats.org/drawingml/2006/main"/>
        <a:lstStyle xmlns:a="http://schemas.openxmlformats.org/drawingml/2006/main"/>
        <a:p xmlns:a="http://schemas.openxmlformats.org/drawingml/2006/main"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r>
            <a:t/>
          </a:r>
          <a:endParaRPr lang="en-US"/>
        </a:p>
      </txPr>
    </legend>
    <plotVisOnly val="1"/>
    <dispBlanksAs val="gap"/>
  </chart>
  <spPr>
    <a:solidFill xmlns:a="http://schemas.openxmlformats.org/drawingml/2006/main">
      <a:srgbClr val="FFFFFF"/>
    </a:solidFill>
    <a:ln xmlns:a="http://schemas.openxmlformats.org/drawingml/2006/main" w="9360">
      <a:solidFill>
        <a:srgbClr val="D9D9D9"/>
      </a:solidFill>
      <a:prstDash val="solid"/>
      <a:round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_rels/drawing2.xml.rels><Relationships xmlns="http://schemas.openxmlformats.org/package/2006/relationships"><Relationship Type="http://schemas.openxmlformats.org/officeDocument/2006/relationships/chart" Target="/xl/charts/chart2.xml" Id="rId1"/></Relationships>
</file>

<file path=xl/drawings/_rels/drawing3.xml.rels><Relationships xmlns="http://schemas.openxmlformats.org/package/2006/relationships"><Relationship Type="http://schemas.openxmlformats.org/officeDocument/2006/relationships/chart" Target="/xl/charts/chart3.xml" Id="rId1"/><Relationship Type="http://schemas.openxmlformats.org/officeDocument/2006/relationships/chart" Target="/xl/charts/chart4.xml" Id="rId2"/><Relationship Type="http://schemas.openxmlformats.org/officeDocument/2006/relationships/chart" Target="/xl/charts/chart5.xml" Id="rId3"/></Relationships>
</file>

<file path=xl/drawings/_rels/drawing4.xml.rels><Relationships xmlns="http://schemas.openxmlformats.org/package/2006/relationships"><Relationship Type="http://schemas.openxmlformats.org/officeDocument/2006/relationships/chart" Target="/xl/charts/chart6.xml" Id="rId1"/><Relationship Type="http://schemas.openxmlformats.org/officeDocument/2006/relationships/chart" Target="/xl/charts/chart7.xml" Id="rId2"/></Relationships>
</file>

<file path=xl/drawings/drawing1.xml><?xml version="1.0" encoding="utf-8"?>
<wsDr xmlns="http://schemas.openxmlformats.org/drawingml/2006/spreadsheetDrawing">
  <twoCellAnchor editAs="oneCell">
    <from>
      <col>3</col>
      <colOff>37970</colOff>
      <row>13</row>
      <rowOff>31880</rowOff>
    </from>
    <to>
      <col>8</col>
      <colOff>698500</colOff>
      <row>24</row>
      <rowOff>196850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</wsDr>
</file>

<file path=xl/drawings/drawing2.xml><?xml version="1.0" encoding="utf-8"?>
<wsDr xmlns="http://schemas.openxmlformats.org/drawingml/2006/spreadsheetDrawing">
  <twoCellAnchor editAs="oneCell">
    <from>
      <col>4</col>
      <colOff>25560</colOff>
      <row>17</row>
      <rowOff>23760</rowOff>
    </from>
    <to>
      <col>9</col>
      <colOff>20160</colOff>
      <row>28</row>
      <rowOff>52559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</wsDr>
</file>

<file path=xl/drawings/drawing3.xml><?xml version="1.0" encoding="utf-8"?>
<wsDr xmlns="http://schemas.openxmlformats.org/drawingml/2006/spreadsheetDrawing">
  <twoCellAnchor editAs="oneCell">
    <from>
      <col>2</col>
      <colOff>310284</colOff>
      <row>15</row>
      <rowOff>72159</rowOff>
    </from>
    <to>
      <col>4</col>
      <colOff>35967</colOff>
      <row>28</row>
      <rowOff>7216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 editAs="oneCell">
    <from>
      <col>0</col>
      <colOff>0</colOff>
      <row>15</row>
      <rowOff>72158</rowOff>
    </from>
    <to>
      <col>2</col>
      <colOff>353580</colOff>
      <row>28</row>
      <rowOff>7215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  <twoCellAnchor editAs="oneCell">
    <from>
      <col>0</col>
      <colOff>0</colOff>
      <row>41</row>
      <rowOff>13681</rowOff>
    </from>
    <to>
      <col>3</col>
      <colOff>1973160</colOff>
      <row>51</row>
      <rowOff>20266</rowOff>
    </to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twoCellAnchor>
</wsDr>
</file>

<file path=xl/drawings/drawing4.xml><?xml version="1.0" encoding="utf-8"?>
<wsDr xmlns="http://schemas.openxmlformats.org/drawingml/2006/spreadsheetDrawing">
  <twoCellAnchor editAs="oneCell">
    <from>
      <col>0</col>
      <colOff>0</colOff>
      <row>39</row>
      <rowOff>32400</rowOff>
    </from>
    <to>
      <col>3</col>
      <colOff>482400</colOff>
      <row>56</row>
      <rowOff>169334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 editAs="oneCell">
    <from>
      <col>3</col>
      <colOff>500026</colOff>
      <row>39</row>
      <rowOff>29880</rowOff>
    </from>
    <to>
      <col>8</col>
      <colOff>28786</colOff>
      <row>57</row>
      <rowOff>8467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</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_rels/sheet6.xml.rels><Relationships xmlns="http://schemas.openxmlformats.org/package/2006/relationships"><Relationship Type="http://schemas.openxmlformats.org/officeDocument/2006/relationships/drawing" Target="/xl/drawings/drawing3.xml" Id="rId1"/></Relationships>
</file>

<file path=xl/worksheets/_rels/sheet7.xml.rels><Relationships xmlns="http://schemas.openxmlformats.org/package/2006/relationships"><Relationship Type="http://schemas.openxmlformats.org/officeDocument/2006/relationships/drawing" Target="/xl/drawings/drawing4.xml" Id="rId1"/></Relationships>
</file>

<file path=xl/worksheets/_rels/sheet8.xml.rels><Relationships xmlns="http://schemas.openxmlformats.org/package/2006/relationships"><Relationship Type="http://schemas.openxmlformats.org/officeDocument/2006/relationships/hyperlink" Target="https://www.instagram.com/p/DWS-4QDCDsZ/" TargetMode="External" Id="rId1"/></Relationships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B27"/>
  <sheetViews>
    <sheetView showGridLines="0" tabSelected="1" workbookViewId="0">
      <selection activeCell="A1" sqref="A1:B27"/>
    </sheetView>
  </sheetViews>
  <sheetFormatPr baseColWidth="10" defaultColWidth="8.83203125" defaultRowHeight="15"/>
  <cols>
    <col width="26" customWidth="1" style="109" min="1" max="1"/>
    <col width="86" customWidth="1" style="109" min="2" max="2"/>
  </cols>
  <sheetData>
    <row r="1" ht="26" customHeight="1" s="109">
      <c r="A1" s="111" t="inlineStr">
        <is>
          <t>ANALYSE ÉDITORIALE — COMPTE INSTAGRAM @RTS_Info</t>
        </is>
      </c>
    </row>
    <row r="2">
      <c r="A2" s="110" t="inlineStr">
        <is>
          <t>Données sources et résultats statistiques</t>
        </is>
      </c>
    </row>
    <row r="4">
      <c r="A4" s="101" t="inlineStr">
        <is>
          <t>Auteur</t>
        </is>
      </c>
      <c r="B4" s="102" t="inlineStr">
        <is>
          <t>T.C. Intelligence</t>
        </is>
      </c>
    </row>
    <row r="5">
      <c r="A5" s="101" t="inlineStr">
        <is>
          <t>Site</t>
        </is>
      </c>
      <c r="B5" s="102" t="inlineStr">
        <is>
          <t>https://tcintelligence.ch</t>
        </is>
      </c>
    </row>
    <row r="6">
      <c r="A6" s="101" t="inlineStr">
        <is>
          <t>Contact</t>
        </is>
      </c>
      <c r="B6" s="102" t="inlineStr">
        <is>
          <t>contact.tc.intelligence@gmail.com</t>
        </is>
      </c>
    </row>
    <row r="7">
      <c r="A7" s="101" t="inlineStr">
        <is>
          <t>Date d'analyse</t>
        </is>
      </c>
      <c r="B7" s="102" t="inlineStr">
        <is>
          <t>30 mars 2026</t>
        </is>
      </c>
    </row>
    <row r="8">
      <c r="A8" s="101" t="inlineStr">
        <is>
          <t>Corpus</t>
        </is>
      </c>
      <c r="B8" s="102" t="inlineStr">
        <is>
          <t>986 publications du compte @RTS_Info (images, carrousels, vidéos)</t>
        </is>
      </c>
    </row>
    <row r="9">
      <c r="A9" s="101" t="inlineStr">
        <is>
          <t>Période</t>
        </is>
      </c>
      <c r="B9" s="102" t="inlineStr">
        <is>
          <t>8 janvier – 25 mars 2026 (77 jours)</t>
        </is>
      </c>
    </row>
    <row r="10">
      <c r="A10" s="101" t="inlineStr">
        <is>
          <t>Modèle d'IA</t>
        </is>
      </c>
      <c r="B10" s="102" t="inlineStr">
        <is>
          <t>Gemini 2.5 Flash (Google DeepMind) — analyse multimodale texte, image et son</t>
        </is>
      </c>
    </row>
    <row r="11">
      <c r="A11" s="101" t="inlineStr">
        <is>
          <t>Échelle de score</t>
        </is>
      </c>
      <c r="B11" s="102" t="inlineStr">
        <is>
          <t>0 = gauche · 50 = neutre · 100 = droite</t>
        </is>
      </c>
    </row>
    <row r="12">
      <c r="A12" s="101" t="inlineStr">
        <is>
          <t>Tests statistiques</t>
        </is>
      </c>
      <c r="B12" s="102" t="inlineStr">
        <is>
          <t>T-test, ANOVA, corrélations de Pearson et Spearman, Chi² de distribution uniforme</t>
        </is>
      </c>
    </row>
    <row r="14">
      <c r="A14" s="108" t="inlineStr">
        <is>
          <t>CONTENU DES ONGLETS</t>
        </is>
      </c>
    </row>
    <row r="15">
      <c r="A15" s="103" t="inlineStr">
        <is>
          <t>F1_Synthese_Globale</t>
        </is>
      </c>
      <c r="B15" s="104" t="inlineStr">
        <is>
          <t>Indicateurs clés et distribution des scores</t>
        </is>
      </c>
    </row>
    <row r="16">
      <c r="A16" s="103" t="inlineStr">
        <is>
          <t>F2_Polarisation</t>
        </is>
      </c>
      <c r="B16" s="104" t="inlineStr">
        <is>
          <t>Publications orientées, segments de score, test T contre la neutralité</t>
        </is>
      </c>
    </row>
    <row r="17" ht="28" customHeight="1" s="109">
      <c r="A17" s="103" t="inlineStr">
        <is>
          <t>F3_Segmentation_Thematique</t>
        </is>
      </c>
      <c r="B17" s="104" t="inlineStr">
        <is>
          <t>Score moyen par catégorie et sous-catégorie, tests ANOVA</t>
        </is>
      </c>
    </row>
    <row r="18">
      <c r="A18" s="103" t="inlineStr">
        <is>
          <t>F4_Engagement</t>
        </is>
      </c>
      <c r="B18" s="104" t="inlineStr">
        <is>
          <t>Corrélations entre score éditorial et engagement (likes, commentaires)</t>
        </is>
      </c>
    </row>
    <row r="19">
      <c r="A19" s="103" t="inlineStr">
        <is>
          <t>F5_Critique_Commentaires</t>
        </is>
      </c>
      <c r="B19" s="104" t="inlineStr">
        <is>
          <t>Critiques de l'audience envers la RTS, par thème et par segment</t>
        </is>
      </c>
    </row>
    <row r="20">
      <c r="A20" s="103" t="inlineStr">
        <is>
          <t>F6_Frequence_Thematique</t>
        </is>
      </c>
      <c r="B20" s="104" t="inlineStr">
        <is>
          <t>Fréquence des thèmes comparée à une distribution uniforme (Chi²)</t>
        </is>
      </c>
    </row>
    <row r="21">
      <c r="A21" s="103" t="inlineStr">
        <is>
          <t>Donnees_Brutes</t>
        </is>
      </c>
      <c r="B21" s="104" t="inlineStr">
        <is>
          <t>Une ligne par publication : scores, thèmes, engagement (données sources)</t>
        </is>
      </c>
    </row>
    <row r="22">
      <c r="A22" s="103" t="inlineStr">
        <is>
          <t>Dictionnaire</t>
        </is>
      </c>
      <c r="B22" s="104" t="inlineStr">
        <is>
          <t>Définition de chaque colonne des données brutes</t>
        </is>
      </c>
    </row>
    <row r="24">
      <c r="A24" s="108" t="inlineStr">
        <is>
          <t>USAGE ET CITATION</t>
        </is>
      </c>
    </row>
    <row r="25" ht="30" customHeight="1" s="109">
      <c r="A25" s="101" t="inlineStr">
        <is>
          <t>Reproductibilité</t>
        </is>
      </c>
      <c r="B25" s="102" t="inlineStr">
        <is>
          <t>Méthodologie et code ouverts. Les scores agrégés (moyenne 45,3 ; écart-type 6,3 ; t = -23,4) sont reproductibles depuis l'onglet Donnees_Brutes.</t>
        </is>
      </c>
    </row>
    <row r="26">
      <c r="A26" s="101" t="inlineStr">
        <is>
          <t>Citation suggérée</t>
        </is>
      </c>
      <c r="B26" s="102" t="inlineStr">
        <is>
          <t>T.C. Intelligence (2026). Analyse éditoriale du compte Instagram @RTS_Info. https://tcintelligence.ch</t>
        </is>
      </c>
    </row>
    <row r="27" ht="30" customHeight="1" s="109">
      <c r="A27" s="101" t="inlineStr">
        <is>
          <t>Périmètre</t>
        </is>
      </c>
      <c r="B27" s="102" t="inlineStr">
        <is>
          <t>Conclusions limitées au compte @RTS_Info sur la période analysée ; non extrapolables aux autres canaux de la SSR.</t>
        </is>
      </c>
    </row>
  </sheetData>
  <mergeCells count="4">
    <mergeCell ref="A14:B14"/>
    <mergeCell ref="A2:B2"/>
    <mergeCell ref="A1:B1"/>
    <mergeCell ref="A24:B24"/>
  </mergeCells>
  <printOptions horizontalCentered="1"/>
  <pageMargins left="0.7480314960629921" right="0.7480314960629921" top="0.984251968503937" bottom="0.984251968503937" header="0.5118110236220472" footer="0.5118110236220472"/>
  <pageSetup orientation="portrait" paperSize="9" fitToHeight="0" fitToWidth="1" horizontalDpi="0" verticalDpi="0"/>
</worksheet>
</file>

<file path=xl/worksheets/sheet2.xml><?xml version="1.0" encoding="utf-8"?>
<worksheet xmlns="http://schemas.openxmlformats.org/spreadsheetml/2006/main">
  <sheetPr>
    <outlinePr summaryBelow="1" summaryRight="1"/>
    <pageSetUpPr fitToPage="1"/>
  </sheetPr>
  <dimension ref="A1:O27"/>
  <sheetViews>
    <sheetView showGridLines="0" topLeftCell="A2" zoomScaleNormal="100" workbookViewId="0">
      <selection activeCell="B6" sqref="B6"/>
    </sheetView>
  </sheetViews>
  <sheetFormatPr baseColWidth="10" defaultColWidth="8.6640625" defaultRowHeight="15"/>
  <cols>
    <col width="22" customWidth="1" style="109" min="1" max="1"/>
    <col width="10" customWidth="1" style="109" min="2" max="3"/>
    <col width="12" customWidth="1" style="109" min="4" max="4"/>
    <col width="10" customWidth="1" style="109" min="5" max="9"/>
  </cols>
  <sheetData>
    <row r="1" ht="31.5" customHeight="1" s="109">
      <c r="A1" s="122" t="inlineStr">
        <is>
          <t>SYNTHÈSE GLOBALE — ANALYSE ÉDITORIALE RTS INSTAGRAM</t>
        </is>
      </c>
    </row>
    <row r="2" ht="21.75" customHeight="1" s="109">
      <c r="A2" s="117" t="inlineStr">
        <is>
          <t xml:space="preserve"> Analyse des 986 publications (réel, carrousel, image unique) de la page Instagram @RTS_Info du 8 janvier au 25 mars 2026.  </t>
        </is>
      </c>
    </row>
    <row r="4" ht="19.5" customHeight="1" s="109">
      <c r="A4" s="120" t="inlineStr">
        <is>
          <t>INDICATEURS CLÉS (Score 0–100 : 0-49=gauche, 50=centre, 51-100=droite. )</t>
        </is>
      </c>
    </row>
    <row r="5" ht="27.75" customHeight="1" s="109">
      <c r="A5" s="125" t="inlineStr">
        <is>
          <t>N publications</t>
        </is>
      </c>
      <c r="B5" s="125" t="inlineStr">
        <is>
          <t>Score moyen (μ)</t>
        </is>
      </c>
      <c r="C5" s="125" t="inlineStr">
        <is>
          <t>Écart-type (σ)</t>
        </is>
      </c>
      <c r="D5" s="125" t="inlineStr">
        <is>
          <t>% Gauche (G)</t>
        </is>
      </c>
      <c r="E5" s="125" t="inlineStr">
        <is>
          <t>% Neutre (N)</t>
        </is>
      </c>
      <c r="F5" s="125" t="inlineStr">
        <is>
          <t>% Droite (D)</t>
        </is>
      </c>
      <c r="G5" s="125" t="inlineStr">
        <is>
          <t>Ratio G/D</t>
        </is>
      </c>
      <c r="H5" s="125" t="n"/>
      <c r="I5" s="125" t="n"/>
      <c r="K5" s="130" t="n"/>
      <c r="L5" s="3" t="n"/>
      <c r="M5" s="130" t="n"/>
      <c r="N5" s="130" t="n"/>
    </row>
    <row r="6" ht="21.75" customHeight="1" s="109">
      <c r="A6" s="139">
        <f>COUNTA(Donnees_Brutes!A2:A987)</f>
        <v/>
      </c>
      <c r="B6" s="139">
        <f>ROUND(AVERAGE(Donnees_Brutes!D2:D987),1)</f>
        <v/>
      </c>
      <c r="C6" s="139">
        <f>ROUND(STDEV(Donnees_Brutes!D2:D987),1)</f>
        <v/>
      </c>
      <c r="D6" s="5">
        <f>ROUND(COUNTIF(Donnees_Brutes!D2:D987,"&lt;50")/COUNTA(Donnees_Brutes!A2:A987)*100,1)</f>
        <v/>
      </c>
      <c r="E6" s="5">
        <f>ROUND(COUNTIFS(Donnees_Brutes!D2:D987,"=50")/COUNTA(Donnees_Brutes!A2:A987)*100,1)</f>
        <v/>
      </c>
      <c r="F6" s="5">
        <f>ROUND(COUNTIF(Donnees_Brutes!D2:D987,"&gt;50")/COUNTA(Donnees_Brutes!A2:A987)*100,1)</f>
        <v/>
      </c>
      <c r="G6" s="139" t="inlineStr">
        <is>
          <t>558/38 =14.7</t>
        </is>
      </c>
      <c r="H6" s="139" t="n"/>
      <c r="I6" s="139" t="n"/>
      <c r="K6" s="3" t="n"/>
      <c r="L6" s="130" t="n"/>
      <c r="M6" s="130" t="n"/>
      <c r="N6" s="130" t="n"/>
    </row>
    <row r="7" ht="21.75" customHeight="1" s="109">
      <c r="A7" s="115" t="inlineStr">
        <is>
          <t>RÉSULTATS PAR FEUILLET</t>
        </is>
      </c>
      <c r="K7" s="3" t="n"/>
      <c r="L7" s="130" t="n"/>
      <c r="M7" s="130" t="n"/>
      <c r="N7" s="130" t="n"/>
    </row>
    <row r="8" ht="45.75" customHeight="1" s="109">
      <c r="A8" s="6" t="inlineStr">
        <is>
          <t>F2 · POLARISATION</t>
        </is>
      </c>
      <c r="B8" s="124" t="inlineStr">
        <is>
          <t>Le score moyen (45,3/100) est statistiquement différent de 50 (p &lt; 10⁻⁹⁶). 60,4 % du corpus s'écarte de la neutralité : 558 publications à gauche (score &lt; 50) contre 38 à droite (score &gt; 50), soit un ratio de 14,7:1. Les posts orientés sont critiqués dans les commentaires 58 % du temps vs 41 % pour les neutres.</t>
        </is>
      </c>
      <c r="C8" s="113" t="n"/>
      <c r="D8" s="113" t="n"/>
      <c r="E8" s="113" t="n"/>
      <c r="F8" s="113" t="n"/>
      <c r="G8" s="113" t="n"/>
      <c r="H8" s="113" t="n"/>
      <c r="I8" s="114" t="n"/>
      <c r="K8" s="3" t="n"/>
      <c r="L8" s="130" t="n"/>
      <c r="M8" s="130" t="n"/>
      <c r="N8" s="130" t="n"/>
    </row>
    <row r="9" ht="45.75" customHeight="1" s="109">
      <c r="A9" s="7" t="inlineStr">
        <is>
          <t>F3 · SEGMENTATION THÉMATIQUE</t>
        </is>
      </c>
      <c r="B9" s="112" t="inlineStr">
        <is>
          <t>L'orientation varie significativement selon les catégories (p &lt; 10⁻¹⁴). Les catégories les plus orientées : Société &amp; Droits (43,1), Environnement (43,7), International (44,1). Sous-catégories extrêmes : Immigration (36,7), Énergie (40,0), Questions de Genre (40,0).</t>
        </is>
      </c>
      <c r="C9" s="113" t="n"/>
      <c r="D9" s="113" t="n"/>
      <c r="E9" s="113" t="n"/>
      <c r="F9" s="113" t="n"/>
      <c r="G9" s="113" t="n"/>
      <c r="H9" s="113" t="n"/>
      <c r="I9" s="114" t="n"/>
      <c r="K9" s="3" t="n"/>
      <c r="L9" s="130" t="n"/>
      <c r="M9" s="130" t="n"/>
      <c r="N9" s="130" t="n"/>
    </row>
    <row r="10" ht="45.75" customHeight="1" s="109">
      <c r="A10" s="8" t="inlineStr">
        <is>
          <t>F4 · ENGAGEMENT</t>
        </is>
      </c>
      <c r="B10" s="121" t="inlineStr">
        <is>
          <t xml:space="preserve">Plus un post est orienté à gauche, plus il reçoit de commentaires par rapport au nombre de Likes (r=−0,12, p=0,0001) et plus il reçoit de critiques dans les commentaires (r=−0,09, p=0,0034). En revanche, le nombre de like n'y est pas corrélé. </t>
        </is>
      </c>
      <c r="C10" s="113" t="n"/>
      <c r="D10" s="113" t="n"/>
      <c r="E10" s="113" t="n"/>
      <c r="F10" s="113" t="n"/>
      <c r="G10" s="113" t="n"/>
      <c r="H10" s="113" t="n"/>
      <c r="I10" s="114" t="n"/>
      <c r="K10" s="3" t="n"/>
      <c r="L10" s="130" t="n"/>
      <c r="M10" s="130" t="n"/>
      <c r="N10" s="130" t="n"/>
    </row>
    <row r="11" ht="45.75" customHeight="1" s="109">
      <c r="A11" s="9" t="inlineStr">
        <is>
          <t>F5 · CRITIQUE DES COMMENTAIRES</t>
        </is>
      </c>
      <c r="B11" s="119" t="inlineStr">
        <is>
          <t>39,8% des publications suscitent des critiques dans les commentaires. Taux global de critique : 9,2% des commentaires analysés. Les thèmes les plus critiqués — International (14,1%), Santé (11,9%), Environnement (11,4%) — sont exactement les plus orientés politiquement.</t>
        </is>
      </c>
      <c r="C11" s="113" t="n"/>
      <c r="D11" s="113" t="n"/>
      <c r="E11" s="113" t="n"/>
      <c r="F11" s="113" t="n"/>
      <c r="G11" s="113" t="n"/>
      <c r="H11" s="113" t="n"/>
      <c r="I11" s="114" t="n"/>
      <c r="K11" s="3" t="n"/>
      <c r="L11" s="130" t="n"/>
      <c r="M11" s="130" t="n"/>
      <c r="N11" s="130" t="n"/>
    </row>
    <row r="12" ht="45.75" customHeight="1" s="109">
      <c r="A12" s="10" t="inlineStr">
        <is>
          <t>F6 · FRÉQUENCE THÉMATIQUE</t>
        </is>
      </c>
      <c r="B12" s="116" t="inlineStr">
        <is>
          <t>La distribution thématique est statistiquement non uniforme (Chi²=120,2, p &lt; 10⁻²²). Culture &amp; Loisirs (19,3%) et Société &amp; Droits (19,2%) sont chacun 1,5× surreprésentés. Politique &amp; Institutions (8,2%) et Économie &amp; Travail (7,2%) sont sous-représentés (~0,6×). Immigration ne représente que 1,2% du corpus.</t>
        </is>
      </c>
      <c r="C12" s="113" t="n"/>
      <c r="D12" s="113" t="n"/>
      <c r="E12" s="113" t="n"/>
      <c r="F12" s="113" t="n"/>
      <c r="G12" s="113" t="n"/>
      <c r="H12" s="113" t="n"/>
      <c r="I12" s="114" t="n"/>
      <c r="L12" s="130" t="n"/>
      <c r="M12" s="130" t="n"/>
      <c r="N12" s="130" t="n"/>
      <c r="O12" s="130" t="n"/>
    </row>
    <row r="13" ht="19.5" customHeight="1" s="109">
      <c r="A13" s="120" t="inlineStr">
        <is>
          <t>DISTRIBUTION DES SCORES</t>
        </is>
      </c>
    </row>
    <row r="14" ht="18" customHeight="1" s="109">
      <c r="A14" s="128" t="inlineStr">
        <is>
          <t>Plage</t>
        </is>
      </c>
      <c r="B14" s="128" t="inlineStr">
        <is>
          <t>N</t>
        </is>
      </c>
      <c r="C14" s="128" t="inlineStr">
        <is>
          <t>% corpus</t>
        </is>
      </c>
      <c r="D14" s="118" t="n"/>
    </row>
    <row r="15" ht="30" customHeight="1" s="109">
      <c r="A15" s="12" t="inlineStr">
        <is>
          <t>0–9</t>
        </is>
      </c>
      <c r="B15" s="12">
        <f>COUNTIFS(Donnees_Brutes!D2:D987,"&gt;=0",Donnees_Brutes!D2:D987,"&lt;=9")</f>
        <v/>
      </c>
      <c r="C15" s="13">
        <f>ROUND(COUNTIFS(Donnees_Brutes!D2:D987,"&gt;=0",Donnees_Brutes!D2:D987,"&lt;=9")/COUNTA(Donnees_Brutes!A2:A987)*100,1)</f>
        <v/>
      </c>
    </row>
    <row r="16">
      <c r="A16" s="12" t="inlineStr">
        <is>
          <t>10–19</t>
        </is>
      </c>
      <c r="B16" s="12">
        <f>COUNTIFS(Donnees_Brutes!D2:D987,"&gt;=10",Donnees_Brutes!D2:D987,"&lt;=19")</f>
        <v/>
      </c>
      <c r="C16" s="13">
        <f>ROUND(COUNTIFS(Donnees_Brutes!D2:D987,"&gt;=10",Donnees_Brutes!D2:D987,"&lt;=19")/COUNTA(Donnees_Brutes!A2:A987)*100,1)</f>
        <v/>
      </c>
    </row>
    <row r="17" ht="19.5" customHeight="1" s="109">
      <c r="A17" s="14" t="inlineStr">
        <is>
          <t>20–29</t>
        </is>
      </c>
      <c r="B17" s="14">
        <f>COUNTIFS(Donnees_Brutes!D2:D987,"&gt;=20",Donnees_Brutes!D2:D987,"&lt;=29")</f>
        <v/>
      </c>
      <c r="C17" s="15">
        <f>ROUND(COUNTIFS(Donnees_Brutes!D2:D987,"&gt;=20",Donnees_Brutes!D2:D987,"&lt;=29")/COUNTA(Donnees_Brutes!A2:A987)*100,1)</f>
        <v/>
      </c>
    </row>
    <row r="18" ht="19.5" customHeight="1" s="109">
      <c r="A18" s="16" t="inlineStr">
        <is>
          <t>30–39</t>
        </is>
      </c>
      <c r="B18" s="16">
        <f>COUNTIFS(Donnees_Brutes!D2:D987,"&gt;=30",Donnees_Brutes!D2:D987,"&lt;=39")</f>
        <v/>
      </c>
      <c r="C18" s="17">
        <f>ROUND(COUNTIFS(Donnees_Brutes!D2:D987,"&gt;=30",Donnees_Brutes!D2:D987,"&lt;=39")/COUNTA(Donnees_Brutes!A2:A987)*100,1)</f>
        <v/>
      </c>
    </row>
    <row r="19" ht="15.75" customHeight="1" s="109">
      <c r="A19" s="18" t="inlineStr">
        <is>
          <t>40–49</t>
        </is>
      </c>
      <c r="B19" s="18">
        <f>COUNTIFS(Donnees_Brutes!D2:D987,"&gt;=40",Donnees_Brutes!D2:D987,"&lt;=49")</f>
        <v/>
      </c>
      <c r="C19" s="19">
        <f>ROUND(COUNTIFS(Donnees_Brutes!D2:D987,"&gt;=40",Donnees_Brutes!D2:D987,"&lt;=49")/COUNTA(Donnees_Brutes!A2:A987)*100,1)</f>
        <v/>
      </c>
    </row>
    <row r="20" ht="15.75" customHeight="1" s="109">
      <c r="A20" s="20" t="n">
        <v>50</v>
      </c>
      <c r="B20" s="20">
        <f>COUNTIF(Donnees_Brutes!D2:D987,"50")</f>
        <v/>
      </c>
      <c r="C20" s="21">
        <f>ROUND(COUNTIF(Donnees_Brutes!D2:D987,"50")/COUNTA(Donnees_Brutes!A2:A987)*100,1)</f>
        <v/>
      </c>
    </row>
    <row r="21" ht="15.75" customHeight="1" s="109">
      <c r="A21" s="18" t="inlineStr">
        <is>
          <t>51–59</t>
        </is>
      </c>
      <c r="B21" s="18">
        <f>COUNTIFS(Donnees_Brutes!D2:D987,"&gt;=51",Donnees_Brutes!D2:D987,"&lt;=59")</f>
        <v/>
      </c>
      <c r="C21" s="19">
        <f>ROUND(COUNTIFS(Donnees_Brutes!D2:D987,"&gt;=51",Donnees_Brutes!D2:D987,"&lt;=59")/COUNTA(Donnees_Brutes!A2:A987)*100,1)</f>
        <v/>
      </c>
    </row>
    <row r="22" ht="15.75" customHeight="1" s="109">
      <c r="A22" s="16" t="inlineStr">
        <is>
          <t>60–69</t>
        </is>
      </c>
      <c r="B22" s="16">
        <f>COUNTIFS(Donnees_Brutes!D2:D987,"&gt;=60",Donnees_Brutes!D2:D987,"&lt;=69")</f>
        <v/>
      </c>
      <c r="C22" s="17">
        <f>ROUND(COUNTIFS(Donnees_Brutes!D2:D987,"&gt;=60",Donnees_Brutes!D2:D987,"&lt;=69")/COUNTA(Donnees_Brutes!A2:A987)*100,1)</f>
        <v/>
      </c>
    </row>
    <row r="23" ht="15.75" customHeight="1" s="109">
      <c r="A23" s="14" t="inlineStr">
        <is>
          <t>70–79</t>
        </is>
      </c>
      <c r="B23" s="14">
        <f>COUNTIFS(Donnees_Brutes!D2:D987,"&gt;=70",Donnees_Brutes!D2:D987,"&lt;=79")</f>
        <v/>
      </c>
      <c r="C23" s="15">
        <f>ROUND(COUNTIFS(Donnees_Brutes!D2:D987,"&gt;=70",Donnees_Brutes!D2:D987,"&lt;=79")/COUNTA(Donnees_Brutes!A2:A987)*100,1)</f>
        <v/>
      </c>
    </row>
    <row r="24" ht="15.75" customHeight="1" s="109">
      <c r="A24" s="12" t="inlineStr">
        <is>
          <t>80–89</t>
        </is>
      </c>
      <c r="B24" s="12">
        <f>COUNTIFS(Donnees_Brutes!D2:D987,"&gt;=80",Donnees_Brutes!D2:D987,"&lt;=89")</f>
        <v/>
      </c>
      <c r="C24" s="13">
        <f>ROUND(COUNTIFS(Donnees_Brutes!D2:D987,"&gt;=80",Donnees_Brutes!D2:D987,"&lt;=89")/COUNTA(Donnees_Brutes!A2:A987)*100,1)</f>
        <v/>
      </c>
    </row>
    <row r="25" ht="15.75" customHeight="1" s="109">
      <c r="A25" s="12" t="inlineStr">
        <is>
          <t>90–99</t>
        </is>
      </c>
      <c r="B25" s="12">
        <f>COUNTIFS(Donnees_Brutes!D2:D987,"&gt;=90",Donnees_Brutes!D2:D987,"&lt;=99")</f>
        <v/>
      </c>
      <c r="C25" s="13">
        <f>ROUND(COUNTIFS(Donnees_Brutes!D2:D987,"&gt;=90",Donnees_Brutes!D2:D987,"&lt;=99")/COUNTA(Donnees_Brutes!A2:A987)*100,1)</f>
        <v/>
      </c>
    </row>
    <row r="26" ht="15.75" customHeight="1" s="109"/>
    <row r="27" ht="30" customHeight="1" s="109">
      <c r="A27" s="123" t="inlineStr">
        <is>
          <t>Résultat : Score moyen de 45,3/100 — 4,7 points sous la neutralité. Biais vers la gauche statistiquement certain (p &lt; 10⁻⁹⁶).</t>
        </is>
      </c>
    </row>
    <row r="28" ht="15.75" customHeight="1" s="109"/>
    <row r="29" ht="15.75" customHeight="1" s="109"/>
    <row r="31" ht="30" customHeight="1" s="109"/>
  </sheetData>
  <mergeCells count="12">
    <mergeCell ref="B9:I9"/>
    <mergeCell ref="A7:I7"/>
    <mergeCell ref="B12:I12"/>
    <mergeCell ref="A2:I2"/>
    <mergeCell ref="D14:I14"/>
    <mergeCell ref="B11:I11"/>
    <mergeCell ref="A13:I13"/>
    <mergeCell ref="B10:I10"/>
    <mergeCell ref="A1:I1"/>
    <mergeCell ref="A27:I27"/>
    <mergeCell ref="A4:I4"/>
    <mergeCell ref="B8:I8"/>
  </mergeCells>
  <printOptions horizontalCentered="1"/>
  <pageMargins left="0.75" right="0.75" top="1" bottom="1" header="0.5" footer="0.5"/>
  <pageSetup orientation="portrait" paperSize="9" scale="77" fitToHeight="0" horizontalDpi="300" verticalDpi="300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A1:I30"/>
  <sheetViews>
    <sheetView showGridLines="0" zoomScaleNormal="100" workbookViewId="0">
      <selection activeCell="B6" sqref="B6"/>
    </sheetView>
  </sheetViews>
  <sheetFormatPr baseColWidth="10" defaultColWidth="8.6640625" defaultRowHeight="15"/>
  <cols>
    <col width="24" customWidth="1" style="109" min="1" max="1"/>
    <col width="10.6640625" customWidth="1" style="109" min="2" max="2"/>
    <col width="8.83203125" customWidth="1" style="109" min="3" max="3"/>
    <col width="10.33203125" customWidth="1" style="109" min="4" max="4"/>
    <col width="11.33203125" customWidth="1" style="109" min="5" max="5"/>
    <col width="10" customWidth="1" style="109" min="6" max="8"/>
    <col width="12" customWidth="1" style="109" min="9" max="9"/>
    <col width="10" customWidth="1" style="109" min="10" max="10"/>
  </cols>
  <sheetData>
    <row r="1" ht="31.5" customHeight="1" s="109">
      <c r="A1" s="122" t="inlineStr">
        <is>
          <t>ANALYSE DE LA POLARISATION ÉDITORIALE</t>
        </is>
      </c>
    </row>
    <row r="2" ht="27" customFormat="1" customHeight="1" s="130">
      <c r="A2" s="129" t="inlineStr">
        <is>
          <t>Analyse : Identification des publications orientées (score ≠ 50, score 50 exclu), leur répartition par thème, et mesure du taux de critique dans les commentaires selon le segment de score.</t>
        </is>
      </c>
    </row>
    <row r="3" ht="19.5" customHeight="1" s="109">
      <c r="A3" s="120" t="inlineStr">
        <is>
          <t>SCORES GLOBAUX (Score 0–100 : 0=gauche, 50=centre, 100=droite. )</t>
        </is>
      </c>
    </row>
    <row r="4" ht="24" customHeight="1" s="109">
      <c r="A4" s="125" t="inlineStr">
        <is>
          <t>N publications</t>
        </is>
      </c>
      <c r="B4" s="125" t="inlineStr">
        <is>
          <t>Score moyen (μ)</t>
        </is>
      </c>
      <c r="C4" s="125" t="inlineStr">
        <is>
          <t>Écart-type (σ)</t>
        </is>
      </c>
      <c r="D4" s="125" t="inlineStr">
        <is>
          <t>% Gauche (G)</t>
        </is>
      </c>
      <c r="E4" s="125" t="inlineStr">
        <is>
          <t>% Neutre (N)</t>
        </is>
      </c>
      <c r="F4" s="125" t="inlineStr">
        <is>
          <t>% Droite (D)</t>
        </is>
      </c>
      <c r="G4" s="125" t="inlineStr">
        <is>
          <t>Ratio G/D</t>
        </is>
      </c>
      <c r="H4" s="125" t="n"/>
    </row>
    <row r="5" ht="19.5" customHeight="1" s="109">
      <c r="A5" s="139">
        <f>COUNTA(Donnees_Brutes!A6:A991)</f>
        <v/>
      </c>
      <c r="B5" s="139">
        <f>ROUND(AVERAGE(Donnees_Brutes!D6:D991),1)</f>
        <v/>
      </c>
      <c r="C5" s="139">
        <f>ROUND(STDEV(Donnees_Brutes!D6:D991),1)</f>
        <v/>
      </c>
      <c r="D5" s="5">
        <f>ROUND(COUNTIF(Donnees_Brutes!D6:D991,"&lt;50")/COUNTA(Donnees_Brutes!A6:A991)*100,1)</f>
        <v/>
      </c>
      <c r="E5" s="5">
        <f>ROUND(COUNTIFS(Donnees_Brutes!D6:D991,"=50")/COUNTA(Donnees_Brutes!A6:A991)*100,1)</f>
        <v/>
      </c>
      <c r="F5" s="5">
        <f>ROUND(COUNTIF(Donnees_Brutes!D6:D991,"&gt;50")/COUNTA(Donnees_Brutes!A6:A991)*100,1)</f>
        <v/>
      </c>
      <c r="G5" s="139" t="inlineStr">
        <is>
          <t>558/38 =14.7</t>
        </is>
      </c>
      <c r="H5" s="139" t="n"/>
    </row>
    <row r="6" ht="18.75" customHeight="1" s="109"/>
    <row r="7" ht="15.75" customHeight="1" s="109">
      <c r="A7" s="120" t="inlineStr">
        <is>
          <t xml:space="preserve">TEST T — Score moyen ≠ 50 ? </t>
        </is>
      </c>
    </row>
    <row r="8" ht="15.75" customHeight="1" s="109">
      <c r="A8" s="128" t="inlineStr">
        <is>
          <t>t-stat</t>
        </is>
      </c>
      <c r="B8" s="128" t="inlineStr">
        <is>
          <t>p-value</t>
        </is>
      </c>
      <c r="C8" s="128" t="inlineStr">
        <is>
          <t>Seuil α</t>
        </is>
      </c>
      <c r="D8" s="128" t="inlineStr">
        <is>
          <t>Résultat</t>
        </is>
      </c>
      <c r="E8" s="126" t="inlineStr">
        <is>
          <t>Conclusion</t>
        </is>
      </c>
      <c r="F8" s="127" t="n"/>
      <c r="G8" s="127" t="n"/>
      <c r="H8" s="127" t="n"/>
      <c r="I8" s="127" t="n"/>
    </row>
    <row r="9" ht="39.75" customHeight="1" s="109">
      <c r="A9" s="22" t="n">
        <v>-23.446</v>
      </c>
      <c r="B9" s="23" t="inlineStr">
        <is>
          <t>5.94e-97</t>
        </is>
      </c>
      <c r="C9" s="24" t="inlineStr">
        <is>
          <t>0.05</t>
        </is>
      </c>
      <c r="D9" s="22" t="inlineStr">
        <is>
          <t>SIGNIFICATIF</t>
        </is>
      </c>
      <c r="E9" s="134" t="inlineStr">
        <is>
          <t xml:space="preserve">Biais statistique certain: moins d’une chance sur 10⁹⁶ que cet écart soit dû au hasard. </t>
        </is>
      </c>
      <c r="F9" s="135" t="n"/>
      <c r="G9" s="135" t="n"/>
      <c r="H9" s="135" t="n"/>
      <c r="I9" s="136" t="n"/>
    </row>
    <row r="11" ht="19.5" customHeight="1" s="109">
      <c r="A11" s="120" t="inlineStr">
        <is>
          <t>RÉPARTITION GLOBALE</t>
        </is>
      </c>
    </row>
    <row r="12" ht="19.5" customHeight="1" s="109">
      <c r="A12" s="128" t="inlineStr">
        <is>
          <t>Segment</t>
        </is>
      </c>
      <c r="B12" s="128" t="inlineStr">
        <is>
          <t>Critère</t>
        </is>
      </c>
      <c r="C12" s="128" t="inlineStr">
        <is>
          <t>N</t>
        </is>
      </c>
      <c r="D12" s="128" t="inlineStr">
        <is>
          <t>%</t>
        </is>
      </c>
      <c r="F12" s="128" t="inlineStr">
        <is>
          <t>Min</t>
        </is>
      </c>
      <c r="H12" s="128" t="inlineStr">
        <is>
          <t>Max</t>
        </is>
      </c>
    </row>
    <row r="13" ht="15.75" customHeight="1" s="109">
      <c r="A13" s="25" t="inlineStr">
        <is>
          <t>Orientés GAUCHE</t>
        </is>
      </c>
      <c r="B13" s="26" t="inlineStr">
        <is>
          <t>score &lt; 50</t>
        </is>
      </c>
      <c r="C13" s="27">
        <f>COUNTIF(Donnees_Brutes!D2:D987,"&lt;50")</f>
        <v/>
      </c>
      <c r="D13" s="133">
        <f>ROUND(COUNTIF(Donnees_Brutes!D2:D987,"&lt;50")/COUNTA(Donnees_Brutes!A2:A987)*100,1)</f>
        <v/>
      </c>
      <c r="E13" s="132" t="n"/>
      <c r="F13" s="133" t="n">
        <v>15</v>
      </c>
      <c r="G13" s="132" t="n"/>
      <c r="H13" s="133" t="n">
        <v>48</v>
      </c>
      <c r="I13" s="132" t="n"/>
    </row>
    <row r="14" ht="15.75" customHeight="1" s="109">
      <c r="A14" s="28" t="inlineStr">
        <is>
          <t>Orientés DROITE</t>
        </is>
      </c>
      <c r="B14" s="29" t="inlineStr">
        <is>
          <t>score &gt; 50</t>
        </is>
      </c>
      <c r="C14" s="30">
        <f>COUNTIF(Donnees_Brutes!D2:D987,"&gt;50")</f>
        <v/>
      </c>
      <c r="D14" s="138">
        <f>ROUND(COUNTIF(Donnees_Brutes!D2:D987,"&gt;50")/COUNTA(Donnees_Brutes!A2:A987)*100,1)</f>
        <v/>
      </c>
      <c r="E14" s="132" t="n"/>
      <c r="F14" s="138" t="n">
        <v>55</v>
      </c>
      <c r="G14" s="132" t="n"/>
      <c r="H14" s="138" t="n">
        <v>75</v>
      </c>
      <c r="I14" s="132" t="n"/>
    </row>
    <row r="15" ht="15.75" customHeight="1" s="109">
      <c r="A15" s="31" t="inlineStr">
        <is>
          <t>Neutres (= 50)</t>
        </is>
      </c>
      <c r="B15" s="32" t="inlineStr">
        <is>
          <t>score = 50</t>
        </is>
      </c>
      <c r="C15" s="33">
        <f>COUNTIF(Donnees_Brutes!D2:D987,"=50")</f>
        <v/>
      </c>
      <c r="D15" s="131">
        <f>ROUND(COUNTIF(Donnees_Brutes!D2:D987,"=50")/COUNTA(Donnees_Brutes!A2:A987)*100,1)</f>
        <v/>
      </c>
      <c r="E15" s="132" t="n"/>
      <c r="F15" s="131" t="n">
        <v>50</v>
      </c>
      <c r="G15" s="132" t="n"/>
      <c r="H15" s="131" t="n">
        <v>50</v>
      </c>
      <c r="I15" s="132" t="n"/>
    </row>
    <row r="16" ht="15.75" customFormat="1" customHeight="1" s="130">
      <c r="A16" s="34" t="n"/>
      <c r="B16" s="35" t="n"/>
      <c r="C16" s="3" t="n"/>
      <c r="D16" s="36" t="n"/>
      <c r="E16" s="36" t="n"/>
      <c r="F16" s="36" t="n"/>
      <c r="G16" s="36" t="n"/>
      <c r="H16" s="36" t="n"/>
      <c r="I16" s="36" t="n"/>
    </row>
    <row r="17" ht="15.75" customHeight="1" s="109">
      <c r="A17" s="120" t="inlineStr">
        <is>
          <t>DISTRIBUTION DES SCORES</t>
        </is>
      </c>
    </row>
    <row r="18" ht="15.75" customHeight="1" s="109">
      <c r="A18" s="128" t="inlineStr">
        <is>
          <t>Plage</t>
        </is>
      </c>
      <c r="B18" s="128" t="inlineStr">
        <is>
          <t>N</t>
        </is>
      </c>
      <c r="C18" s="75" t="inlineStr">
        <is>
          <t>% corpus</t>
        </is>
      </c>
      <c r="D18" s="75" t="inlineStr">
        <is>
          <t>Score Moy.</t>
        </is>
      </c>
    </row>
    <row r="19" ht="15.75" customHeight="1" s="109">
      <c r="A19" s="12" t="inlineStr">
        <is>
          <t>0–9</t>
        </is>
      </c>
      <c r="B19" s="12">
        <f>COUNTIFS(Donnees_Brutes!D2:D987,"&gt;=0",Donnees_Brutes!D2:D987,"&lt;=9")</f>
        <v/>
      </c>
      <c r="C19" s="13">
        <f>ROUND(COUNTIFS(Donnees_Brutes!D2:D987,"&gt;=0",Donnees_Brutes!D2:D987,"&lt;=9")/COUNTA(Donnees_Brutes!A2:A987)*100,1)</f>
        <v/>
      </c>
      <c r="D19" s="13">
        <f>IFERROR(ROUND(AVERAGEIFS(Donnees_Brutes!D2:D987,Donnees_Brutes!D2:D987,"&gt;=0",Donnees_Brutes!D2:D987,"&lt;=9"),1),"—")</f>
        <v/>
      </c>
    </row>
    <row r="20" ht="15.75" customHeight="1" s="109">
      <c r="A20" s="12" t="inlineStr">
        <is>
          <t>10–19</t>
        </is>
      </c>
      <c r="B20" s="12">
        <f>COUNTIFS(Donnees_Brutes!D2:D987,"&gt;=10",Donnees_Brutes!D2:D987,"&lt;=19")</f>
        <v/>
      </c>
      <c r="C20" s="13">
        <f>ROUND(COUNTIFS(Donnees_Brutes!D2:D987,"&gt;=10",Donnees_Brutes!D2:D987,"&lt;=19")/COUNTA(Donnees_Brutes!A2:A987)*100,1)</f>
        <v/>
      </c>
      <c r="D20" s="13">
        <f>IFERROR(ROUND(AVERAGEIFS(Donnees_Brutes!D2:D987,Donnees_Brutes!D2:D987,"&gt;=10",Donnees_Brutes!D2:D987,"&lt;=19"),1),"—")</f>
        <v/>
      </c>
    </row>
    <row r="21" ht="15.75" customHeight="1" s="109">
      <c r="A21" s="14" t="inlineStr">
        <is>
          <t>20–29</t>
        </is>
      </c>
      <c r="B21" s="14">
        <f>COUNTIFS(Donnees_Brutes!D2:D987,"&gt;=20",Donnees_Brutes!D2:D987,"&lt;=29")</f>
        <v/>
      </c>
      <c r="C21" s="15">
        <f>ROUND(COUNTIFS(Donnees_Brutes!D2:D987,"&gt;=20",Donnees_Brutes!D2:D987,"&lt;=29")/COUNTA(Donnees_Brutes!A2:A987)*100,1)</f>
        <v/>
      </c>
      <c r="D21" s="15">
        <f>IFERROR(ROUND(AVERAGEIFS(Donnees_Brutes!D2:D987,Donnees_Brutes!D2:D987,"&gt;=20",Donnees_Brutes!D2:D987,"&lt;=29"),1),"—")</f>
        <v/>
      </c>
    </row>
    <row r="22" ht="15.75" customHeight="1" s="109">
      <c r="A22" s="16" t="inlineStr">
        <is>
          <t>30–39</t>
        </is>
      </c>
      <c r="B22" s="16">
        <f>COUNTIFS(Donnees_Brutes!D2:D987,"&gt;=30",Donnees_Brutes!D2:D987,"&lt;=39")</f>
        <v/>
      </c>
      <c r="C22" s="17">
        <f>ROUND(COUNTIFS(Donnees_Brutes!D2:D987,"&gt;=30",Donnees_Brutes!D2:D987,"&lt;=39")/COUNTA(Donnees_Brutes!A2:A987)*100,1)</f>
        <v/>
      </c>
      <c r="D22" s="17">
        <f>IFERROR(ROUND(AVERAGEIFS(Donnees_Brutes!D2:D987,Donnees_Brutes!D2:D987,"&gt;=30",Donnees_Brutes!D2:D987,"&lt;=39"),1),"—")</f>
        <v/>
      </c>
    </row>
    <row r="23" ht="15.75" customHeight="1" s="109">
      <c r="A23" s="18" t="inlineStr">
        <is>
          <t>40–49</t>
        </is>
      </c>
      <c r="B23" s="18">
        <f>COUNTIFS(Donnees_Brutes!D2:D987,"&gt;=40",Donnees_Brutes!D2:D987,"&lt;=49")</f>
        <v/>
      </c>
      <c r="C23" s="19">
        <f>ROUND(COUNTIFS(Donnees_Brutes!D2:D987,"&gt;=40",Donnees_Brutes!D2:D987,"&lt;=49")/COUNTA(Donnees_Brutes!A2:A987)*100,1)</f>
        <v/>
      </c>
      <c r="D23" s="19">
        <f>IFERROR(ROUND(AVERAGEIFS(Donnees_Brutes!D2:D987,Donnees_Brutes!D2:D987,"&gt;=40",Donnees_Brutes!D2:D987,"&lt;=49"),1),"—")</f>
        <v/>
      </c>
    </row>
    <row r="24" ht="30.75" customHeight="1" s="109">
      <c r="A24" s="20" t="n">
        <v>50</v>
      </c>
      <c r="B24" s="20">
        <f>COUNTIF(Donnees_Brutes!D2:D987,"50")</f>
        <v/>
      </c>
      <c r="C24" s="21">
        <f>ROUND(COUNTIF(Donnees_Brutes!D2:D987,"50")/COUNTA(Donnees_Brutes!A2:A987)*100,1)</f>
        <v/>
      </c>
      <c r="D24" s="21">
        <f>50</f>
        <v/>
      </c>
    </row>
    <row r="25">
      <c r="A25" s="18" t="inlineStr">
        <is>
          <t>51–59</t>
        </is>
      </c>
      <c r="B25" s="18">
        <f>COUNTIFS(Donnees_Brutes!D2:D987,"&gt;=51",Donnees_Brutes!D2:D987,"&lt;=59")</f>
        <v/>
      </c>
      <c r="C25" s="19">
        <f>ROUND(COUNTIFS(Donnees_Brutes!D2:D987,"&gt;=51",Donnees_Brutes!D2:D987,"&lt;=59")/COUNTA(Donnees_Brutes!A2:A987)*100,1)</f>
        <v/>
      </c>
      <c r="D25" s="19">
        <f>IFERROR(ROUND(AVERAGEIFS(Donnees_Brutes!D2:D987,Donnees_Brutes!D2:D987,"&gt;=51",Donnees_Brutes!D2:D987,"&lt;=59"),1),"—")</f>
        <v/>
      </c>
    </row>
    <row r="26">
      <c r="A26" s="16" t="inlineStr">
        <is>
          <t>60–69</t>
        </is>
      </c>
      <c r="B26" s="16">
        <f>COUNTIFS(Donnees_Brutes!D2:D987,"&gt;=60",Donnees_Brutes!D2:D987,"&lt;=69")</f>
        <v/>
      </c>
      <c r="C26" s="17">
        <f>ROUND(COUNTIFS(Donnees_Brutes!D2:D987,"&gt;=60",Donnees_Brutes!D2:D987,"&lt;=69")/COUNTA(Donnees_Brutes!A2:A987)*100,1)</f>
        <v/>
      </c>
      <c r="D26" s="17">
        <f>IFERROR(ROUND(AVERAGEIFS(Donnees_Brutes!D2:D987,Donnees_Brutes!D2:D987,"&gt;=60",Donnees_Brutes!D2:D987,"&lt;=69"),1),"—")</f>
        <v/>
      </c>
    </row>
    <row r="27">
      <c r="A27" s="14" t="inlineStr">
        <is>
          <t>70–79</t>
        </is>
      </c>
      <c r="B27" s="14">
        <f>COUNTIFS(Donnees_Brutes!D2:D987,"&gt;=70",Donnees_Brutes!D2:D987,"&lt;=79")</f>
        <v/>
      </c>
      <c r="C27" s="15">
        <f>ROUND(COUNTIFS(Donnees_Brutes!D2:D987,"&gt;=70",Donnees_Brutes!D2:D987,"&lt;=79")/COUNTA(Donnees_Brutes!A2:A987)*100,1)</f>
        <v/>
      </c>
      <c r="D27" s="15">
        <f>IFERROR(ROUND(AVERAGEIFS(Donnees_Brutes!D2:D987,Donnees_Brutes!D2:D987,"&gt;=70",Donnees_Brutes!D2:D987,"&lt;=79"),1),"—")</f>
        <v/>
      </c>
    </row>
    <row r="28">
      <c r="A28" s="12" t="inlineStr">
        <is>
          <t>80–89</t>
        </is>
      </c>
      <c r="B28" s="12">
        <f>COUNTIFS(Donnees_Brutes!D2:D987,"&gt;=80",Donnees_Brutes!D2:D987,"&lt;=89")</f>
        <v/>
      </c>
      <c r="C28" s="13">
        <f>ROUND(COUNTIFS(Donnees_Brutes!D2:D987,"&gt;=80",Donnees_Brutes!D2:D987,"&lt;=89")/COUNTA(Donnees_Brutes!A2:A987)*100,1)</f>
        <v/>
      </c>
      <c r="D28" s="13">
        <f>IFERROR(ROUND(AVERAGEIFS(Donnees_Brutes!D2:D987,Donnees_Brutes!D2:D987,"&gt;=80",Donnees_Brutes!D2:D987,"&lt;=89"),1),"—")</f>
        <v/>
      </c>
    </row>
    <row r="29">
      <c r="A29" s="12" t="inlineStr">
        <is>
          <t>90–99</t>
        </is>
      </c>
      <c r="B29" s="12">
        <f>COUNTIFS(Donnees_Brutes!D2:D987,"&gt;=90",Donnees_Brutes!D2:D987,"&lt;=99")</f>
        <v/>
      </c>
      <c r="C29" s="13">
        <f>ROUND(COUNTIFS(Donnees_Brutes!D2:D987,"&gt;=90",Donnees_Brutes!D2:D987,"&lt;=99")/COUNTA(Donnees_Brutes!A2:A987)*100,1)</f>
        <v/>
      </c>
      <c r="D29" s="13">
        <f>IFERROR(ROUND(AVERAGEIFS(Donnees_Brutes!D2:D987,Donnees_Brutes!D2:D987,"&gt;=90",Donnees_Brutes!D2:D987,"&lt;=99"),1),"—")</f>
        <v/>
      </c>
    </row>
    <row r="30" ht="40.5" customHeight="1" s="109">
      <c r="A30" s="137" t="inlineStr">
        <is>
          <t>Résultat : Le score moyen est significativement différent de 50 (p &lt; 0.001). La plus grande part du corpus se situe légèrement à gauche (bin 40–49 : 47,1 %), le score exactement neutre (50) vient en deuxième position (39,6 %). 60,4 % du corpus s'écarte de la neutralité : 558 à gauche (score &lt; 50) contre 38 à droite (score &gt; 50), soit un ratio de 14,7:1. Critère retenu : score différent de 50, score 50 exclu.</t>
        </is>
      </c>
    </row>
  </sheetData>
  <mergeCells count="23">
    <mergeCell ref="A7:I7"/>
    <mergeCell ref="A3:I3"/>
    <mergeCell ref="H4:I4"/>
    <mergeCell ref="E8:I8"/>
    <mergeCell ref="F12:G12"/>
    <mergeCell ref="A2:I2"/>
    <mergeCell ref="F15:G15"/>
    <mergeCell ref="D13:E13"/>
    <mergeCell ref="A17:I17"/>
    <mergeCell ref="E9:I9"/>
    <mergeCell ref="F13:G13"/>
    <mergeCell ref="H13:I13"/>
    <mergeCell ref="A30:I30"/>
    <mergeCell ref="D12:E12"/>
    <mergeCell ref="H12:I12"/>
    <mergeCell ref="A11:I11"/>
    <mergeCell ref="D15:E15"/>
    <mergeCell ref="H15:I15"/>
    <mergeCell ref="A1:I1"/>
    <mergeCell ref="D14:E14"/>
    <mergeCell ref="H5:I5"/>
    <mergeCell ref="F14:G14"/>
    <mergeCell ref="H14:I14"/>
  </mergeCells>
  <printOptions horizontalCentered="1"/>
  <pageMargins left="0.75" right="0.75" top="1" bottom="1" header="0.5" footer="0.5"/>
  <pageSetup orientation="portrait" paperSize="9" scale="75" fitToHeight="0" horizontalDpi="300" verticalDpi="300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H42"/>
  <sheetViews>
    <sheetView showGridLines="0" zoomScaleNormal="100" workbookViewId="0">
      <selection activeCell="B6" sqref="B6"/>
    </sheetView>
  </sheetViews>
  <sheetFormatPr baseColWidth="10" defaultColWidth="8.6640625" defaultRowHeight="15"/>
  <cols>
    <col width="22" customWidth="1" style="109" min="1" max="1"/>
    <col width="20" customWidth="1" style="109" min="2" max="2"/>
    <col width="7" customWidth="1" style="109" min="3" max="3"/>
    <col width="7.1640625" customWidth="1" style="109" min="4" max="4"/>
    <col width="5.6640625" customWidth="1" style="109" min="5" max="5"/>
    <col width="8" customWidth="1" style="109" min="6" max="10"/>
  </cols>
  <sheetData>
    <row r="1" ht="31.5" customHeight="1" s="109">
      <c r="A1" s="122" t="inlineStr">
        <is>
          <t>SEGMENTATION PAR CATÉGORIE ET SOUS-CATÉGORIE</t>
        </is>
      </c>
    </row>
    <row r="2" ht="25.5" customHeight="1" s="109">
      <c r="A2" s="129" t="inlineStr">
        <is>
          <t>Analyse : Score éditorial moyen calculés pour chaque catégorie et sous-catégorie, avec test ANOVA pour vérifier si les différences entre-elles sont significatives.</t>
        </is>
      </c>
    </row>
    <row r="4" ht="19.5" customHeight="1" s="109">
      <c r="A4" s="120" t="inlineStr">
        <is>
          <t xml:space="preserve">PAR CATÉGORIE </t>
        </is>
      </c>
    </row>
    <row r="5" ht="19.5" customHeight="1" s="109">
      <c r="A5" s="128" t="inlineStr">
        <is>
          <t>Catégorie</t>
        </is>
      </c>
      <c r="B5" s="128" t="inlineStr">
        <is>
          <t>N</t>
        </is>
      </c>
      <c r="C5" s="128" t="inlineStr">
        <is>
          <t>Score Moy.</t>
        </is>
      </c>
      <c r="F5" s="128" t="inlineStr">
        <is>
          <t>% G</t>
        </is>
      </c>
      <c r="G5" s="128" t="inlineStr">
        <is>
          <t>% N</t>
        </is>
      </c>
      <c r="H5" s="128" t="inlineStr">
        <is>
          <t>% D</t>
        </is>
      </c>
    </row>
    <row r="6" ht="15.75" customHeight="1" s="109">
      <c r="A6" s="37" t="inlineStr">
        <is>
          <t>Societe &amp; Droits</t>
        </is>
      </c>
      <c r="B6" s="145">
        <f>COUNTIF(Donnees_Brutes!B2:B987,"Societe &amp; Droits")</f>
        <v/>
      </c>
      <c r="C6" s="145">
        <f>IFERROR(ROUND(AVERAGEIF(Donnees_Brutes!B2:B987,"Societe &amp; Droits",Donnees_Brutes!D2:D987),1),"—")</f>
        <v/>
      </c>
      <c r="D6" s="135" t="n"/>
      <c r="E6" s="136" t="n"/>
      <c r="F6" s="145">
        <f>IFERROR(ROUND(COUNTIFS(Donnees_Brutes!B2:B987,"Societe &amp; Droits",Donnees_Brutes!E2:E987,"G")/COUNTIF(Donnees_Brutes!B2:B987,"Societe &amp; Droits")*100,1),"—")</f>
        <v/>
      </c>
      <c r="G6" s="145">
        <f>IFERROR(ROUND((COUNTIFS(Donnees_Brutes!B2:B987,"Societe &amp; Droits",Donnees_Brutes!E2:E987,"N")+COUNTIFS(Donnees_Brutes!B2:B987,"Societe &amp; Droits",Donnees_Brutes!E2:E987,"Neutre"))/COUNTIF(Donnees_Brutes!B2:B987,"Societe &amp; Droits")*100,1),"—")</f>
        <v/>
      </c>
      <c r="H6" s="145">
        <f>IFERROR(ROUND(COUNTIFS(Donnees_Brutes!B2:B987,"Societe &amp; Droits",Donnees_Brutes!E2:E987,"D")/COUNTIF(Donnees_Brutes!B2:B987,"Societe &amp; Droits")*100,1),"—")</f>
        <v/>
      </c>
    </row>
    <row r="7" ht="15.75" customHeight="1" s="109">
      <c r="A7" s="39" t="inlineStr">
        <is>
          <t>Environnement &amp; Nature</t>
        </is>
      </c>
      <c r="B7" s="143">
        <f>COUNTIF(Donnees_Brutes!B2:B987,"Environnement &amp; Nature")</f>
        <v/>
      </c>
      <c r="C7" s="143">
        <f>IFERROR(ROUND(AVERAGEIF(Donnees_Brutes!B2:B987,"Environnement &amp; Nature",Donnees_Brutes!D2:D987),1),"—")</f>
        <v/>
      </c>
      <c r="D7" s="135" t="n"/>
      <c r="E7" s="136" t="n"/>
      <c r="F7" s="143">
        <f>IFERROR(ROUND(COUNTIFS(Donnees_Brutes!B2:B987,"Environnement &amp; Nature",Donnees_Brutes!E2:E987,"G")/COUNTIF(Donnees_Brutes!B2:B987,"Environnement &amp; Nature")*100,1),"—")</f>
        <v/>
      </c>
      <c r="G7" s="143">
        <f>IFERROR(ROUND((COUNTIFS(Donnees_Brutes!B2:B987,"Environnement &amp; Nature",Donnees_Brutes!E2:E987,"N")+COUNTIFS(Donnees_Brutes!B2:B987,"Environnement &amp; Nature",Donnees_Brutes!E2:E987,"Neutre"))/COUNTIF(Donnees_Brutes!B2:B987,"Environnement &amp; Nature")*100,1),"—")</f>
        <v/>
      </c>
      <c r="H7" s="143">
        <f>IFERROR(ROUND(COUNTIFS(Donnees_Brutes!B2:B987,"Environnement &amp; Nature",Donnees_Brutes!E2:E987,"D")/COUNTIF(Donnees_Brutes!B2:B987,"Environnement &amp; Nature")*100,1),"—")</f>
        <v/>
      </c>
    </row>
    <row r="8" ht="15.75" customHeight="1" s="109">
      <c r="A8" s="37" t="inlineStr">
        <is>
          <t>International</t>
        </is>
      </c>
      <c r="B8" s="145">
        <f>COUNTIF(Donnees_Brutes!B2:B987,"International")</f>
        <v/>
      </c>
      <c r="C8" s="145">
        <f>IFERROR(ROUND(AVERAGEIF(Donnees_Brutes!B2:B987,"International",Donnees_Brutes!D2:D987),1),"—")</f>
        <v/>
      </c>
      <c r="D8" s="135" t="n"/>
      <c r="E8" s="136" t="n"/>
      <c r="F8" s="145">
        <f>IFERROR(ROUND(COUNTIFS(Donnees_Brutes!B2:B987,"International",Donnees_Brutes!E2:E987,"G")/COUNTIF(Donnees_Brutes!B2:B987,"International")*100,1),"—")</f>
        <v/>
      </c>
      <c r="G8" s="145">
        <f>IFERROR(ROUND((COUNTIFS(Donnees_Brutes!B2:B987,"International",Donnees_Brutes!E2:E987,"N")+COUNTIFS(Donnees_Brutes!B2:B987,"International",Donnees_Brutes!E2:E987,"Neutre"))/COUNTIF(Donnees_Brutes!B2:B987,"International")*100,1),"—")</f>
        <v/>
      </c>
      <c r="H8" s="145">
        <f>IFERROR(ROUND(COUNTIFS(Donnees_Brutes!B2:B987,"International",Donnees_Brutes!E2:E987,"D")/COUNTIF(Donnees_Brutes!B2:B987,"International")*100,1),"—")</f>
        <v/>
      </c>
    </row>
    <row r="9" ht="15.75" customHeight="1" s="109">
      <c r="A9" s="39" t="inlineStr">
        <is>
          <t>Sante</t>
        </is>
      </c>
      <c r="B9" s="143">
        <f>COUNTIF(Donnees_Brutes!B2:B987,"Sante")</f>
        <v/>
      </c>
      <c r="C9" s="143">
        <f>IFERROR(ROUND(AVERAGEIF(Donnees_Brutes!B2:B987,"Sante",Donnees_Brutes!D2:D987),1),"—")</f>
        <v/>
      </c>
      <c r="D9" s="135" t="n"/>
      <c r="E9" s="136" t="n"/>
      <c r="F9" s="143">
        <f>IFERROR(ROUND(COUNTIFS(Donnees_Brutes!B2:B987,"Sante",Donnees_Brutes!E2:E987,"G")/COUNTIF(Donnees_Brutes!B2:B987,"Sante")*100,1),"—")</f>
        <v/>
      </c>
      <c r="G9" s="143">
        <f>IFERROR(ROUND((COUNTIFS(Donnees_Brutes!B2:B987,"Sante",Donnees_Brutes!E2:E987,"N")+COUNTIFS(Donnees_Brutes!B2:B987,"Sante",Donnees_Brutes!E2:E987,"Neutre"))/COUNTIF(Donnees_Brutes!B2:B987,"Sante")*100,1),"—")</f>
        <v/>
      </c>
      <c r="H9" s="143">
        <f>IFERROR(ROUND(COUNTIFS(Donnees_Brutes!B2:B987,"Sante",Donnees_Brutes!E2:E987,"D")/COUNTIF(Donnees_Brutes!B2:B987,"Sante")*100,1),"—")</f>
        <v/>
      </c>
    </row>
    <row r="10" ht="15.75" customHeight="1" s="109">
      <c r="A10" s="37" t="inlineStr">
        <is>
          <t>Economie &amp; Travail</t>
        </is>
      </c>
      <c r="B10" s="145">
        <f>COUNTIF(Donnees_Brutes!B2:B987,"Economie &amp; Travail")</f>
        <v/>
      </c>
      <c r="C10" s="145">
        <f>IFERROR(ROUND(AVERAGEIF(Donnees_Brutes!B2:B987,"Economie &amp; Travail",Donnees_Brutes!D2:D987),1),"—")</f>
        <v/>
      </c>
      <c r="D10" s="135" t="n"/>
      <c r="E10" s="136" t="n"/>
      <c r="F10" s="145">
        <f>IFERROR(ROUND(COUNTIFS(Donnees_Brutes!B2:B987,"Economie &amp; Travail",Donnees_Brutes!E2:E987,"G")/COUNTIF(Donnees_Brutes!B2:B987,"Economie &amp; Travail")*100,1),"—")</f>
        <v/>
      </c>
      <c r="G10" s="145">
        <f>IFERROR(ROUND((COUNTIFS(Donnees_Brutes!B2:B987,"Economie &amp; Travail",Donnees_Brutes!E2:E987,"N")+COUNTIFS(Donnees_Brutes!B2:B987,"Economie &amp; Travail",Donnees_Brutes!E2:E987,"Neutre"))/COUNTIF(Donnees_Brutes!B2:B987,"Economie &amp; Travail")*100,1),"—")</f>
        <v/>
      </c>
      <c r="H10" s="145">
        <f>IFERROR(ROUND(COUNTIFS(Donnees_Brutes!B2:B987,"Economie &amp; Travail",Donnees_Brutes!E2:E987,"D")/COUNTIF(Donnees_Brutes!B2:B987,"Economie &amp; Travail")*100,1),"—")</f>
        <v/>
      </c>
    </row>
    <row r="11" ht="15.75" customHeight="1" s="109">
      <c r="A11" s="39" t="inlineStr">
        <is>
          <t>Securite &amp; Justice</t>
        </is>
      </c>
      <c r="B11" s="143">
        <f>COUNTIF(Donnees_Brutes!B2:B987,"Securite &amp; Justice")</f>
        <v/>
      </c>
      <c r="C11" s="143">
        <f>IFERROR(ROUND(AVERAGEIF(Donnees_Brutes!B2:B987,"Securite &amp; Justice",Donnees_Brutes!D2:D987),1),"—")</f>
        <v/>
      </c>
      <c r="D11" s="135" t="n"/>
      <c r="E11" s="136" t="n"/>
      <c r="F11" s="143">
        <f>IFERROR(ROUND(COUNTIFS(Donnees_Brutes!B2:B987,"Securite &amp; Justice",Donnees_Brutes!E2:E987,"G")/COUNTIF(Donnees_Brutes!B2:B987,"Securite &amp; Justice")*100,1),"—")</f>
        <v/>
      </c>
      <c r="G11" s="143">
        <f>IFERROR(ROUND((COUNTIFS(Donnees_Brutes!B2:B987,"Securite &amp; Justice",Donnees_Brutes!E2:E987,"N")+COUNTIFS(Donnees_Brutes!B2:B987,"Securite &amp; Justice",Donnees_Brutes!E2:E987,"Neutre"))/COUNTIF(Donnees_Brutes!B2:B987,"Securite &amp; Justice")*100,1),"—")</f>
        <v/>
      </c>
      <c r="H11" s="143">
        <f>IFERROR(ROUND(COUNTIFS(Donnees_Brutes!B2:B987,"Securite &amp; Justice",Donnees_Brutes!E2:E987,"D")/COUNTIF(Donnees_Brutes!B2:B987,"Securite &amp; Justice")*100,1),"—")</f>
        <v/>
      </c>
    </row>
    <row r="12" ht="15.75" customHeight="1" s="109">
      <c r="A12" s="37" t="inlineStr">
        <is>
          <t>Politique &amp; Institutions</t>
        </is>
      </c>
      <c r="B12" s="145">
        <f>COUNTIF(Donnees_Brutes!B2:B987,"Politique &amp; Institutions")</f>
        <v/>
      </c>
      <c r="C12" s="145">
        <f>IFERROR(ROUND(AVERAGEIF(Donnees_Brutes!B2:B987,"Politique &amp; Institutions",Donnees_Brutes!D2:D987),1),"—")</f>
        <v/>
      </c>
      <c r="D12" s="135" t="n"/>
      <c r="E12" s="136" t="n"/>
      <c r="F12" s="145">
        <f>IFERROR(ROUND(COUNTIFS(Donnees_Brutes!B2:B987,"Politique &amp; Institutions",Donnees_Brutes!E2:E987,"G")/COUNTIF(Donnees_Brutes!B2:B987,"Politique &amp; Institutions")*100,1),"—")</f>
        <v/>
      </c>
      <c r="G12" s="145">
        <f>IFERROR(ROUND((COUNTIFS(Donnees_Brutes!B2:B987,"Politique &amp; Institutions",Donnees_Brutes!E2:E987,"N")+COUNTIFS(Donnees_Brutes!B2:B987,"Politique &amp; Institutions",Donnees_Brutes!E2:E987,"Neutre"))/COUNTIF(Donnees_Brutes!B2:B987,"Politique &amp; Institutions")*100,1),"—")</f>
        <v/>
      </c>
      <c r="H12" s="145">
        <f>IFERROR(ROUND(COUNTIFS(Donnees_Brutes!B2:B987,"Politique &amp; Institutions",Donnees_Brutes!E2:E987,"D")/COUNTIF(Donnees_Brutes!B2:B987,"Politique &amp; Institutions")*100,1),"—")</f>
        <v/>
      </c>
    </row>
    <row r="13" ht="15.75" customHeight="1" s="109">
      <c r="A13" s="39" t="inlineStr">
        <is>
          <t>Culture &amp; Loisirs</t>
        </is>
      </c>
      <c r="B13" s="143">
        <f>COUNTIF(Donnees_Brutes!B2:B987,"Culture &amp; Loisirs")</f>
        <v/>
      </c>
      <c r="C13" s="143">
        <f>IFERROR(ROUND(AVERAGEIF(Donnees_Brutes!B2:B987,"Culture &amp; Loisirs",Donnees_Brutes!D2:D987),1),"—")</f>
        <v/>
      </c>
      <c r="D13" s="135" t="n"/>
      <c r="E13" s="136" t="n"/>
      <c r="F13" s="143">
        <f>IFERROR(ROUND(COUNTIFS(Donnees_Brutes!B2:B987,"Culture &amp; Loisirs",Donnees_Brutes!E2:E987,"G")/COUNTIF(Donnees_Brutes!B2:B987,"Culture &amp; Loisirs")*100,1),"—")</f>
        <v/>
      </c>
      <c r="G13" s="143">
        <f>IFERROR(ROUND((COUNTIFS(Donnees_Brutes!B2:B987,"Culture &amp; Loisirs",Donnees_Brutes!E2:E987,"N")+COUNTIFS(Donnees_Brutes!B2:B987,"Culture &amp; Loisirs",Donnees_Brutes!E2:E987,"Neutre"))/COUNTIF(Donnees_Brutes!B2:B987,"Culture &amp; Loisirs")*100,1),"—")</f>
        <v/>
      </c>
      <c r="H13" s="143">
        <f>IFERROR(ROUND(COUNTIFS(Donnees_Brutes!B2:B987,"Culture &amp; Loisirs",Donnees_Brutes!E2:E987,"D")/COUNTIF(Donnees_Brutes!B2:B987,"Culture &amp; Loisirs")*100,1),"—")</f>
        <v/>
      </c>
    </row>
    <row r="14" ht="19.5" customHeight="1" s="109">
      <c r="A14" s="146" t="inlineStr">
        <is>
          <t>ANOVA catégorie : F=12.3, p=4.37e-15 → Différences significatives</t>
        </is>
      </c>
    </row>
    <row r="16" ht="19.5" customHeight="1" s="109">
      <c r="A16" s="120" t="inlineStr">
        <is>
          <t xml:space="preserve">PAR SOUS- CATÉGORIE </t>
        </is>
      </c>
    </row>
    <row r="17" ht="18" customHeight="1" s="109">
      <c r="A17" s="128" t="inlineStr">
        <is>
          <t>Sous-Catégorie</t>
        </is>
      </c>
      <c r="B17" s="128" t="inlineStr">
        <is>
          <t>Catégorie</t>
        </is>
      </c>
      <c r="C17" s="128" t="inlineStr">
        <is>
          <t>N</t>
        </is>
      </c>
      <c r="D17" s="126" t="inlineStr">
        <is>
          <t>Score Moy.</t>
        </is>
      </c>
      <c r="E17" s="127" t="n"/>
      <c r="F17" s="128" t="inlineStr">
        <is>
          <t>% G</t>
        </is>
      </c>
      <c r="G17" s="128" t="inlineStr">
        <is>
          <t>% N</t>
        </is>
      </c>
      <c r="H17" s="128" t="inlineStr">
        <is>
          <t>% D</t>
        </is>
      </c>
    </row>
    <row r="18" ht="15.75" customHeight="1" s="109">
      <c r="A18" s="37" t="inlineStr">
        <is>
          <t>Immigration</t>
        </is>
      </c>
      <c r="B18" s="37" t="inlineStr">
        <is>
          <t>Societe &amp; Droits</t>
        </is>
      </c>
      <c r="C18" s="145">
        <f>COUNTIF(Donnees_Brutes!C2:C987,"Immigration")</f>
        <v/>
      </c>
      <c r="D18" s="140" t="n">
        <v>36.7</v>
      </c>
      <c r="E18" s="136" t="n"/>
      <c r="F18" s="41">
        <f>IFERROR(ROUND(COUNTIFS(Donnees_Brutes!C2:C987,"Immigration",Donnees_Brutes!E2:E987,"G")/COUNTIF(Donnees_Brutes!C2:C987,"Immigration")*100,1),"—")</f>
        <v/>
      </c>
      <c r="G18" s="145">
        <f>IFERROR(ROUND((COUNTIFS(Donnees_Brutes!C2:C987,"Immigration",Donnees_Brutes!E2:E987,"N")+COUNTIFS(Donnees_Brutes!C2:C987,"Immigration",Donnees_Brutes!E2:E987,"Neutre"))/COUNTIF(Donnees_Brutes!C2:C987,"Immigration")*100,1),"—")</f>
        <v/>
      </c>
      <c r="H18" s="145">
        <f>IFERROR(ROUND(COUNTIFS(Donnees_Brutes!C2:C987,"Immigration",Donnees_Brutes!E2:E987,"D")/COUNTIF(Donnees_Brutes!C2:C987,"Immigration")*100,1),"—")</f>
        <v/>
      </c>
    </row>
    <row r="19" ht="15.75" customHeight="1" s="109">
      <c r="A19" s="39" t="inlineStr">
        <is>
          <t>Energie</t>
        </is>
      </c>
      <c r="B19" s="39" t="inlineStr">
        <is>
          <t>Environnement &amp; Nature</t>
        </is>
      </c>
      <c r="C19" s="143">
        <f>COUNTIF(Donnees_Brutes!C2:C987,"Energie")</f>
        <v/>
      </c>
      <c r="D19" s="141" t="n">
        <v>40</v>
      </c>
      <c r="E19" s="136" t="n"/>
      <c r="F19" s="143">
        <f>IFERROR(ROUND(COUNTIFS(Donnees_Brutes!C2:C987,"Energie",Donnees_Brutes!E2:E987,"G")/COUNTIF(Donnees_Brutes!C2:C987,"Energie")*100,1),"—")</f>
        <v/>
      </c>
      <c r="G19" s="143">
        <f>IFERROR(ROUND((COUNTIFS(Donnees_Brutes!C2:C987,"Energie",Donnees_Brutes!E2:E987,"N")+COUNTIFS(Donnees_Brutes!C2:C987,"Energie",Donnees_Brutes!E2:E987,"Neutre"))/COUNTIF(Donnees_Brutes!C2:C987,"Energie")*100,1),"—")</f>
        <v/>
      </c>
      <c r="H19" s="143">
        <f>IFERROR(ROUND(COUNTIFS(Donnees_Brutes!C2:C987,"Energie",Donnees_Brutes!E2:E987,"D")/COUNTIF(Donnees_Brutes!C2:C987,"Energie")*100,1),"—")</f>
        <v/>
      </c>
    </row>
    <row r="20" ht="15.75" customHeight="1" s="109">
      <c r="A20" s="37" t="inlineStr">
        <is>
          <t>Questions de Genre</t>
        </is>
      </c>
      <c r="B20" s="37" t="inlineStr">
        <is>
          <t>Societe &amp; Droits</t>
        </is>
      </c>
      <c r="C20" s="145">
        <f>COUNTIF(Donnees_Brutes!C2:C987,"Questions de Genre")</f>
        <v/>
      </c>
      <c r="D20" s="140" t="n">
        <v>40</v>
      </c>
      <c r="E20" s="136" t="n"/>
      <c r="F20" s="41">
        <f>IFERROR(ROUND(COUNTIFS(Donnees_Brutes!C2:C987,"Questions de Genre",Donnees_Brutes!E2:E987,"G")/COUNTIF(Donnees_Brutes!C2:C987,"Questions de Genre")*100,1),"—")</f>
        <v/>
      </c>
      <c r="G20" s="145">
        <f>IFERROR(ROUND((COUNTIFS(Donnees_Brutes!C2:C987,"Questions de Genre",Donnees_Brutes!E2:E987,"N")+COUNTIFS(Donnees_Brutes!C2:C987,"Questions de Genre",Donnees_Brutes!E2:E987,"Neutre"))/COUNTIF(Donnees_Brutes!C2:C987,"Questions de Genre")*100,1),"—")</f>
        <v/>
      </c>
      <c r="H20" s="145">
        <f>IFERROR(ROUND(COUNTIFS(Donnees_Brutes!C2:C987,"Questions de Genre",Donnees_Brutes!E2:E987,"D")/COUNTIF(Donnees_Brutes!C2:C987,"Questions de Genre")*100,1),"—")</f>
        <v/>
      </c>
    </row>
    <row r="21" ht="15.75" customHeight="1" s="109">
      <c r="A21" s="39" t="inlineStr">
        <is>
          <t>Activites de Police</t>
        </is>
      </c>
      <c r="B21" s="39" t="inlineStr">
        <is>
          <t>Securite &amp; Justice</t>
        </is>
      </c>
      <c r="C21" s="143">
        <f>COUNTIF(Donnees_Brutes!C2:C987,"Activites de Police")</f>
        <v/>
      </c>
      <c r="D21" s="141" t="n">
        <v>42</v>
      </c>
      <c r="E21" s="136" t="n"/>
      <c r="F21" s="42">
        <f>IFERROR(ROUND(COUNTIFS(Donnees_Brutes!C2:C987,"Activites de Police",Donnees_Brutes!E2:E987,"G")/COUNTIF(Donnees_Brutes!C2:C987,"Activites de Police")*100,1),"—")</f>
        <v/>
      </c>
      <c r="G21" s="143">
        <f>IFERROR(ROUND((COUNTIFS(Donnees_Brutes!C2:C987,"Activites de Police",Donnees_Brutes!E2:E987,"N")+COUNTIFS(Donnees_Brutes!C2:C987,"Activites de Police",Donnees_Brutes!E2:E987,"Neutre"))/COUNTIF(Donnees_Brutes!C2:C987,"Activites de Police")*100,1),"—")</f>
        <v/>
      </c>
      <c r="H21" s="143">
        <f>IFERROR(ROUND(COUNTIFS(Donnees_Brutes!C2:C987,"Activites de Police",Donnees_Brutes!E2:E987,"D")/COUNTIF(Donnees_Brutes!C2:C987,"Activites de Police")*100,1),"—")</f>
        <v/>
      </c>
    </row>
    <row r="22" ht="15.75" customHeight="1" s="109">
      <c r="A22" s="37" t="inlineStr">
        <is>
          <t>Conflits</t>
        </is>
      </c>
      <c r="B22" s="37" t="inlineStr">
        <is>
          <t>International</t>
        </is>
      </c>
      <c r="C22" s="145">
        <f>COUNTIF(Donnees_Brutes!C2:C987,"Conflits")</f>
        <v/>
      </c>
      <c r="D22" s="140" t="n">
        <v>42.6</v>
      </c>
      <c r="E22" s="136" t="n"/>
      <c r="F22" s="41">
        <f>IFERROR(ROUND(COUNTIFS(Donnees_Brutes!C2:C987,"Conflits",Donnees_Brutes!E2:E987,"G")/COUNTIF(Donnees_Brutes!C2:C987,"Conflits")*100,1),"—")</f>
        <v/>
      </c>
      <c r="G22" s="145">
        <f>IFERROR(ROUND((COUNTIFS(Donnees_Brutes!C2:C987,"Conflits",Donnees_Brutes!E2:E987,"N")+COUNTIFS(Donnees_Brutes!C2:C987,"Conflits",Donnees_Brutes!E2:E987,"Neutre"))/COUNTIF(Donnees_Brutes!C2:C987,"Conflits")*100,1),"—")</f>
        <v/>
      </c>
      <c r="H22" s="145">
        <f>IFERROR(ROUND(COUNTIFS(Donnees_Brutes!C2:C987,"Conflits",Donnees_Brutes!E2:E987,"D")/COUNTIF(Donnees_Brutes!C2:C987,"Conflits")*100,1),"—")</f>
        <v/>
      </c>
    </row>
    <row r="23" ht="15.75" customHeight="1" s="109">
      <c r="A23" s="39" t="inlineStr">
        <is>
          <t>Education</t>
        </is>
      </c>
      <c r="B23" s="39" t="inlineStr">
        <is>
          <t>Societe &amp; Droits</t>
        </is>
      </c>
      <c r="C23" s="143">
        <f>COUNTIF(Donnees_Brutes!C2:C987,"Education")</f>
        <v/>
      </c>
      <c r="D23" s="141" t="n">
        <v>43.5</v>
      </c>
      <c r="E23" s="136" t="n"/>
      <c r="F23" s="143">
        <f>IFERROR(ROUND(COUNTIFS(Donnees_Brutes!C2:C987,"Education",Donnees_Brutes!E2:E987,"G")/COUNTIF(Donnees_Brutes!C2:C987,"Education")*100,1),"—")</f>
        <v/>
      </c>
      <c r="G23" s="143">
        <f>IFERROR(ROUND((COUNTIFS(Donnees_Brutes!C2:C987,"Education",Donnees_Brutes!E2:E987,"N")+COUNTIFS(Donnees_Brutes!C2:C987,"Education",Donnees_Brutes!E2:E987,"Neutre"))/COUNTIF(Donnees_Brutes!C2:C987,"Education")*100,1),"—")</f>
        <v/>
      </c>
      <c r="H23" s="143">
        <f>IFERROR(ROUND(COUNTIFS(Donnees_Brutes!C2:C987,"Education",Donnees_Brutes!E2:E987,"D")/COUNTIF(Donnees_Brutes!C2:C987,"Education")*100,1),"—")</f>
        <v/>
      </c>
    </row>
    <row r="24" ht="15.75" customHeight="1" s="109">
      <c r="A24" s="37" t="inlineStr">
        <is>
          <t>Marche du travail</t>
        </is>
      </c>
      <c r="B24" s="37" t="inlineStr">
        <is>
          <t>Economie &amp; Travail</t>
        </is>
      </c>
      <c r="C24" s="145">
        <f>COUNTIF(Donnees_Brutes!C2:C987,"Marche du travail")</f>
        <v/>
      </c>
      <c r="D24" s="140" t="n">
        <v>43.7</v>
      </c>
      <c r="E24" s="136" t="n"/>
      <c r="F24" s="145">
        <f>IFERROR(ROUND(COUNTIFS(Donnees_Brutes!C2:C987,"Marche du travail",Donnees_Brutes!E2:E987,"G")/COUNTIF(Donnees_Brutes!C2:C987,"Marche du travail")*100,1),"—")</f>
        <v/>
      </c>
      <c r="G24" s="145">
        <f>IFERROR(ROUND((COUNTIFS(Donnees_Brutes!C2:C987,"Marche du travail",Donnees_Brutes!E2:E987,"N")+COUNTIFS(Donnees_Brutes!C2:C987,"Marche du travail",Donnees_Brutes!E2:E987,"Neutre"))/COUNTIF(Donnees_Brutes!C2:C987,"Marche du travail")*100,1),"—")</f>
        <v/>
      </c>
      <c r="H24" s="145">
        <f>IFERROR(ROUND(COUNTIFS(Donnees_Brutes!C2:C987,"Marche du travail",Donnees_Brutes!E2:E987,"D")/COUNTIF(Donnees_Brutes!C2:C987,"Marche du travail")*100,1),"—")</f>
        <v/>
      </c>
    </row>
    <row r="25" ht="15.75" customHeight="1" s="109">
      <c r="A25" s="39" t="inlineStr">
        <is>
          <t>Climat / Ecologie</t>
        </is>
      </c>
      <c r="B25" s="39" t="inlineStr">
        <is>
          <t>Environnement &amp; Nature</t>
        </is>
      </c>
      <c r="C25" s="143">
        <f>COUNTIF(Donnees_Brutes!C2:C987,"Climat / Ecologie")</f>
        <v/>
      </c>
      <c r="D25" s="141" t="n">
        <v>43.9</v>
      </c>
      <c r="E25" s="136" t="n"/>
      <c r="F25" s="42">
        <f>IFERROR(ROUND(COUNTIFS(Donnees_Brutes!C2:C987,"Climat / Ecologie",Donnees_Brutes!E2:E987,"G")/COUNTIF(Donnees_Brutes!C2:C987,"Climat / Ecologie")*100,1),"—")</f>
        <v/>
      </c>
      <c r="G25" s="143">
        <f>IFERROR(ROUND((COUNTIFS(Donnees_Brutes!C2:C987,"Climat / Ecologie",Donnees_Brutes!E2:E987,"N")+COUNTIFS(Donnees_Brutes!C2:C987,"Climat / Ecologie",Donnees_Brutes!E2:E987,"Neutre"))/COUNTIF(Donnees_Brutes!C2:C987,"Climat / Ecologie")*100,1),"—")</f>
        <v/>
      </c>
      <c r="H25" s="143">
        <f>IFERROR(ROUND(COUNTIFS(Donnees_Brutes!C2:C987,"Climat / Ecologie",Donnees_Brutes!E2:E987,"D")/COUNTIF(Donnees_Brutes!C2:C987,"Climat / Ecologie")*100,1),"—")</f>
        <v/>
      </c>
    </row>
    <row r="26" ht="15.75" customHeight="1" s="109">
      <c r="A26" s="37" t="inlineStr">
        <is>
          <t>Faits de societe</t>
        </is>
      </c>
      <c r="B26" s="37" t="inlineStr">
        <is>
          <t>Societe &amp; Droits</t>
        </is>
      </c>
      <c r="C26" s="145">
        <f>COUNTIF(Donnees_Brutes!C2:C987,"Faits de societe")</f>
        <v/>
      </c>
      <c r="D26" s="140" t="n">
        <v>44.1</v>
      </c>
      <c r="E26" s="136" t="n"/>
      <c r="F26" s="145">
        <f>IFERROR(ROUND(COUNTIFS(Donnees_Brutes!C2:C987,"Faits de societe",Donnees_Brutes!E2:E987,"G")/COUNTIF(Donnees_Brutes!C2:C987,"Faits de societe")*100,1),"—")</f>
        <v/>
      </c>
      <c r="G26" s="145">
        <f>IFERROR(ROUND((COUNTIFS(Donnees_Brutes!C2:C987,"Faits de societe",Donnees_Brutes!E2:E987,"N")+COUNTIFS(Donnees_Brutes!C2:C987,"Faits de societe",Donnees_Brutes!E2:E987,"Neutre"))/COUNTIF(Donnees_Brutes!C2:C987,"Faits de societe")*100,1),"—")</f>
        <v/>
      </c>
      <c r="H26" s="145">
        <f>IFERROR(ROUND(COUNTIFS(Donnees_Brutes!C2:C987,"Faits de societe",Donnees_Brutes!E2:E987,"D")/COUNTIF(Donnees_Brutes!C2:C987,"Faits de societe")*100,1),"—")</f>
        <v/>
      </c>
    </row>
    <row r="27" ht="15.75" customHeight="1" s="109">
      <c r="A27" s="39" t="inlineStr">
        <is>
          <t>Sante publique</t>
        </is>
      </c>
      <c r="B27" s="39" t="inlineStr">
        <is>
          <t>Sante</t>
        </is>
      </c>
      <c r="C27" s="143">
        <f>COUNTIF(Donnees_Brutes!C2:C987,"Sante publique")</f>
        <v/>
      </c>
      <c r="D27" s="141" t="n">
        <v>44.5</v>
      </c>
      <c r="E27" s="136" t="n"/>
      <c r="F27" s="143">
        <f>IFERROR(ROUND(COUNTIFS(Donnees_Brutes!C2:C987,"Sante publique",Donnees_Brutes!E2:E987,"G")/COUNTIF(Donnees_Brutes!C2:C987,"Sante publique")*100,1),"—")</f>
        <v/>
      </c>
      <c r="G27" s="143">
        <f>IFERROR(ROUND((COUNTIFS(Donnees_Brutes!C2:C987,"Sante publique",Donnees_Brutes!E2:E987,"N")+COUNTIFS(Donnees_Brutes!C2:C987,"Sante publique",Donnees_Brutes!E2:E987,"Neutre"))/COUNTIF(Donnees_Brutes!C2:C987,"Sante publique")*100,1),"—")</f>
        <v/>
      </c>
      <c r="H27" s="143">
        <f>IFERROR(ROUND(COUNTIFS(Donnees_Brutes!C2:C987,"Sante publique",Donnees_Brutes!E2:E987,"D")/COUNTIF(Donnees_Brutes!C2:C987,"Sante publique")*100,1),"—")</f>
        <v/>
      </c>
    </row>
    <row r="28" ht="15.75" customHeight="1" s="109">
      <c r="A28" s="37" t="inlineStr">
        <is>
          <t>Agriculture</t>
        </is>
      </c>
      <c r="B28" s="37" t="inlineStr">
        <is>
          <t>Economie &amp; Travail</t>
        </is>
      </c>
      <c r="C28" s="145">
        <f>COUNTIF(Donnees_Brutes!C2:C987,"Agriculture")</f>
        <v/>
      </c>
      <c r="D28" s="142" t="n">
        <v>45</v>
      </c>
      <c r="E28" s="136" t="n"/>
      <c r="F28" s="145">
        <f>IFERROR(ROUND(COUNTIFS(Donnees_Brutes!C2:C987,"Agriculture",Donnees_Brutes!E2:E987,"G")/COUNTIF(Donnees_Brutes!C2:C987,"Agriculture")*100,1),"—")</f>
        <v/>
      </c>
      <c r="G28" s="145">
        <f>IFERROR(ROUND((COUNTIFS(Donnees_Brutes!C2:C987,"Agriculture",Donnees_Brutes!E2:E987,"N")+COUNTIFS(Donnees_Brutes!C2:C987,"Agriculture",Donnees_Brutes!E2:E987,"Neutre"))/COUNTIF(Donnees_Brutes!C2:C987,"Agriculture")*100,1),"—")</f>
        <v/>
      </c>
      <c r="H28" s="145">
        <f>IFERROR(ROUND(COUNTIFS(Donnees_Brutes!C2:C987,"Agriculture",Donnees_Brutes!E2:E987,"D")/COUNTIF(Donnees_Brutes!C2:C987,"Agriculture")*100,1),"—")</f>
        <v/>
      </c>
    </row>
    <row r="29" ht="15.75" customHeight="1" s="109">
      <c r="A29" s="39" t="inlineStr">
        <is>
          <t>Geopolitique</t>
        </is>
      </c>
      <c r="B29" s="39" t="inlineStr">
        <is>
          <t>International</t>
        </is>
      </c>
      <c r="C29" s="143">
        <f>COUNTIF(Donnees_Brutes!C2:C987,"Geopolitique")</f>
        <v/>
      </c>
      <c r="D29" s="144" t="n">
        <v>45.6</v>
      </c>
      <c r="E29" s="136" t="n"/>
      <c r="F29" s="143">
        <f>IFERROR(ROUND(COUNTIFS(Donnees_Brutes!C2:C987,"Geopolitique",Donnees_Brutes!E2:E987,"G")/COUNTIF(Donnees_Brutes!C2:C987,"Geopolitique")*100,1),"—")</f>
        <v/>
      </c>
      <c r="G29" s="143">
        <f>IFERROR(ROUND((COUNTIFS(Donnees_Brutes!C2:C987,"Geopolitique",Donnees_Brutes!E2:E987,"N")+COUNTIFS(Donnees_Brutes!C2:C987,"Geopolitique",Donnees_Brutes!E2:E987,"Neutre"))/COUNTIF(Donnees_Brutes!C2:C987,"Geopolitique")*100,1),"—")</f>
        <v/>
      </c>
      <c r="H29" s="143">
        <f>IFERROR(ROUND(COUNTIFS(Donnees_Brutes!C2:C987,"Geopolitique",Donnees_Brutes!E2:E987,"D")/COUNTIF(Donnees_Brutes!C2:C987,"Geopolitique")*100,1),"—")</f>
        <v/>
      </c>
    </row>
    <row r="30" ht="15.75" customHeight="1" s="109">
      <c r="A30" s="37" t="inlineStr">
        <is>
          <t>Consommation</t>
        </is>
      </c>
      <c r="B30" s="37" t="inlineStr">
        <is>
          <t>Economie &amp; Travail</t>
        </is>
      </c>
      <c r="C30" s="145">
        <f>COUNTIF(Donnees_Brutes!C2:C987,"Consommation")</f>
        <v/>
      </c>
      <c r="D30" s="142" t="n">
        <v>46.3</v>
      </c>
      <c r="E30" s="136" t="n"/>
      <c r="F30" s="145">
        <f>IFERROR(ROUND(COUNTIFS(Donnees_Brutes!C2:C987,"Consommation",Donnees_Brutes!E2:E987,"G")/COUNTIF(Donnees_Brutes!C2:C987,"Consommation")*100,1),"—")</f>
        <v/>
      </c>
      <c r="G30" s="145">
        <f>IFERROR(ROUND((COUNTIFS(Donnees_Brutes!C2:C987,"Consommation",Donnees_Brutes!E2:E987,"N")+COUNTIFS(Donnees_Brutes!C2:C987,"Consommation",Donnees_Brutes!E2:E987,"Neutre"))/COUNTIF(Donnees_Brutes!C2:C987,"Consommation")*100,1),"—")</f>
        <v/>
      </c>
      <c r="H30" s="145">
        <f>IFERROR(ROUND(COUNTIFS(Donnees_Brutes!C2:C987,"Consommation",Donnees_Brutes!E2:E987,"D")/COUNTIF(Donnees_Brutes!C2:C987,"Consommation")*100,1),"—")</f>
        <v/>
      </c>
    </row>
    <row r="31" ht="15.75" customHeight="1" s="109">
      <c r="A31" s="39" t="inlineStr">
        <is>
          <t>Justice</t>
        </is>
      </c>
      <c r="B31" s="39" t="inlineStr">
        <is>
          <t>Securite &amp; Justice</t>
        </is>
      </c>
      <c r="C31" s="143">
        <f>COUNTIF(Donnees_Brutes!C2:C987,"Justice")</f>
        <v/>
      </c>
      <c r="D31" s="144" t="n">
        <v>46.4</v>
      </c>
      <c r="E31" s="136" t="n"/>
      <c r="F31" s="143">
        <f>IFERROR(ROUND(COUNTIFS(Donnees_Brutes!C2:C987,"Justice",Donnees_Brutes!E2:E987,"G")/COUNTIF(Donnees_Brutes!C2:C987,"Justice")*100,1),"—")</f>
        <v/>
      </c>
      <c r="G31" s="143">
        <f>IFERROR(ROUND((COUNTIFS(Donnees_Brutes!C2:C987,"Justice",Donnees_Brutes!E2:E987,"N")+COUNTIFS(Donnees_Brutes!C2:C987,"Justice",Donnees_Brutes!E2:E987,"Neutre"))/COUNTIF(Donnees_Brutes!C2:C987,"Justice")*100,1),"—")</f>
        <v/>
      </c>
      <c r="H31" s="143">
        <f>IFERROR(ROUND(COUNTIFS(Donnees_Brutes!C2:C987,"Justice",Donnees_Brutes!E2:E987,"D")/COUNTIF(Donnees_Brutes!C2:C987,"Justice")*100,1),"—")</f>
        <v/>
      </c>
    </row>
    <row r="32" ht="15.75" customHeight="1" s="109">
      <c r="A32" s="37" t="inlineStr">
        <is>
          <t>Ordre public</t>
        </is>
      </c>
      <c r="B32" s="37" t="inlineStr">
        <is>
          <t>Securite &amp; Justice</t>
        </is>
      </c>
      <c r="C32" s="145">
        <f>COUNTIF(Donnees_Brutes!C2:C987,"Ordre public")</f>
        <v/>
      </c>
      <c r="D32" s="142" t="n">
        <v>46.9</v>
      </c>
      <c r="E32" s="136" t="n"/>
      <c r="F32" s="145">
        <f>IFERROR(ROUND(COUNTIFS(Donnees_Brutes!C2:C987,"Ordre public",Donnees_Brutes!E2:E987,"G")/COUNTIF(Donnees_Brutes!C2:C987,"Ordre public")*100,1),"—")</f>
        <v/>
      </c>
      <c r="G32" s="145">
        <f>IFERROR(ROUND((COUNTIFS(Donnees_Brutes!C2:C987,"Ordre public",Donnees_Brutes!E2:E987,"N")+COUNTIFS(Donnees_Brutes!C2:C987,"Ordre public",Donnees_Brutes!E2:E987,"Neutre"))/COUNTIF(Donnees_Brutes!C2:C987,"Ordre public")*100,1),"—")</f>
        <v/>
      </c>
      <c r="H32" s="145">
        <f>IFERROR(ROUND(COUNTIFS(Donnees_Brutes!C2:C987,"Ordre public",Donnees_Brutes!E2:E987,"D")/COUNTIF(Donnees_Brutes!C2:C987,"Ordre public")*100,1),"—")</f>
        <v/>
      </c>
    </row>
    <row r="33" ht="15.75" customHeight="1" s="109">
      <c r="A33" s="39" t="inlineStr">
        <is>
          <t>Medias</t>
        </is>
      </c>
      <c r="B33" s="39" t="inlineStr">
        <is>
          <t>Culture &amp; Loisirs</t>
        </is>
      </c>
      <c r="C33" s="143">
        <f>COUNTIF(Donnees_Brutes!C2:C987,"Medias")</f>
        <v/>
      </c>
      <c r="D33" s="144" t="n">
        <v>47</v>
      </c>
      <c r="E33" s="136" t="n"/>
      <c r="F33" s="143">
        <f>IFERROR(ROUND(COUNTIFS(Donnees_Brutes!C2:C987,"Medias",Donnees_Brutes!E2:E987,"G")/COUNTIF(Donnees_Brutes!C2:C987,"Medias")*100,1),"—")</f>
        <v/>
      </c>
      <c r="G33" s="143">
        <f>IFERROR(ROUND((COUNTIFS(Donnees_Brutes!C2:C987,"Medias",Donnees_Brutes!E2:E987,"N")+COUNTIFS(Donnees_Brutes!C2:C987,"Medias",Donnees_Brutes!E2:E987,"Neutre"))/COUNTIF(Donnees_Brutes!C2:C987,"Medias")*100,1),"—")</f>
        <v/>
      </c>
      <c r="H33" s="143">
        <f>IFERROR(ROUND(COUNTIFS(Donnees_Brutes!C2:C987,"Medias",Donnees_Brutes!E2:E987,"D")/COUNTIF(Donnees_Brutes!C2:C987,"Medias")*100,1),"—")</f>
        <v/>
      </c>
    </row>
    <row r="34" ht="15.75" customHeight="1" s="109">
      <c r="A34" s="37" t="inlineStr">
        <is>
          <t>Arts</t>
        </is>
      </c>
      <c r="B34" s="37" t="inlineStr">
        <is>
          <t>Culture &amp; Loisirs</t>
        </is>
      </c>
      <c r="C34" s="145">
        <f>COUNTIF(Donnees_Brutes!C2:C987,"Arts")</f>
        <v/>
      </c>
      <c r="D34" s="142" t="n">
        <v>47</v>
      </c>
      <c r="E34" s="136" t="n"/>
      <c r="F34" s="145">
        <f>IFERROR(ROUND(COUNTIFS(Donnees_Brutes!C2:C987,"Arts",Donnees_Brutes!E2:E987,"G")/COUNTIF(Donnees_Brutes!C2:C987,"Arts")*100,1),"—")</f>
        <v/>
      </c>
      <c r="G34" s="145">
        <f>IFERROR(ROUND((COUNTIFS(Donnees_Brutes!C2:C987,"Arts",Donnees_Brutes!E2:E987,"N")+COUNTIFS(Donnees_Brutes!C2:C987,"Arts",Donnees_Brutes!E2:E987,"Neutre"))/COUNTIF(Donnees_Brutes!C2:C987,"Arts")*100,1),"—")</f>
        <v/>
      </c>
      <c r="H34" s="145">
        <f>IFERROR(ROUND(COUNTIFS(Donnees_Brutes!C2:C987,"Arts",Donnees_Brutes!E2:E987,"D")/COUNTIF(Donnees_Brutes!C2:C987,"Arts")*100,1),"—")</f>
        <v/>
      </c>
    </row>
    <row r="35" ht="15.75" customHeight="1" s="109">
      <c r="A35" s="39" t="inlineStr">
        <is>
          <t>Autorites</t>
        </is>
      </c>
      <c r="B35" s="39" t="inlineStr">
        <is>
          <t>Politique &amp; Institutions</t>
        </is>
      </c>
      <c r="C35" s="143">
        <f>COUNTIF(Donnees_Brutes!C2:C987,"Autorites")</f>
        <v/>
      </c>
      <c r="D35" s="144" t="n">
        <v>47.2</v>
      </c>
      <c r="E35" s="136" t="n"/>
      <c r="F35" s="143">
        <f>IFERROR(ROUND(COUNTIFS(Donnees_Brutes!C2:C987,"Autorites",Donnees_Brutes!E2:E987,"G")/COUNTIF(Donnees_Brutes!C2:C987,"Autorites")*100,1),"—")</f>
        <v/>
      </c>
      <c r="G35" s="143">
        <f>IFERROR(ROUND((COUNTIFS(Donnees_Brutes!C2:C987,"Autorites",Donnees_Brutes!E2:E987,"N")+COUNTIFS(Donnees_Brutes!C2:C987,"Autorites",Donnees_Brutes!E2:E987,"Neutre"))/COUNTIF(Donnees_Brutes!C2:C987,"Autorites")*100,1),"—")</f>
        <v/>
      </c>
      <c r="H35" s="143">
        <f>IFERROR(ROUND(COUNTIFS(Donnees_Brutes!C2:C987,"Autorites",Donnees_Brutes!E2:E987,"D")/COUNTIF(Donnees_Brutes!C2:C987,"Autorites")*100,1),"—")</f>
        <v/>
      </c>
    </row>
    <row r="36" ht="15.75" customHeight="1" s="109">
      <c r="A36" s="37" t="inlineStr">
        <is>
          <t>Votations</t>
        </is>
      </c>
      <c r="B36" s="37" t="inlineStr">
        <is>
          <t>Politique &amp; Institutions</t>
        </is>
      </c>
      <c r="C36" s="145">
        <f>COUNTIF(Donnees_Brutes!C2:C987,"Votations")</f>
        <v/>
      </c>
      <c r="D36" s="142" t="n">
        <v>47.6</v>
      </c>
      <c r="E36" s="136" t="n"/>
      <c r="F36" s="145">
        <f>IFERROR(ROUND(COUNTIFS(Donnees_Brutes!C2:C987,"Votations",Donnees_Brutes!E2:E987,"G")/COUNTIF(Donnees_Brutes!C2:C987,"Votations")*100,1),"—")</f>
        <v/>
      </c>
      <c r="G36" s="145">
        <f>IFERROR(ROUND((COUNTIFS(Donnees_Brutes!C2:C987,"Votations",Donnees_Brutes!E2:E987,"N")+COUNTIFS(Donnees_Brutes!C2:C987,"Votations",Donnees_Brutes!E2:E987,"Neutre"))/COUNTIF(Donnees_Brutes!C2:C987,"Votations")*100,1),"—")</f>
        <v/>
      </c>
      <c r="H36" s="145">
        <f>IFERROR(ROUND(COUNTIFS(Donnees_Brutes!C2:C987,"Votations",Donnees_Brutes!E2:E987,"D")/COUNTIF(Donnees_Brutes!C2:C987,"Votations")*100,1),"—")</f>
        <v/>
      </c>
    </row>
    <row r="37" ht="15.75" customHeight="1" s="109">
      <c r="A37" s="39" t="inlineStr">
        <is>
          <t>Vie politique CH</t>
        </is>
      </c>
      <c r="B37" s="39" t="inlineStr">
        <is>
          <t>Politique &amp; Institutions</t>
        </is>
      </c>
      <c r="C37" s="143">
        <f>COUNTIF(Donnees_Brutes!C2:C987,"Vie politique CH")</f>
        <v/>
      </c>
      <c r="D37" s="144" t="n">
        <v>47.7</v>
      </c>
      <c r="E37" s="136" t="n"/>
      <c r="F37" s="143">
        <f>IFERROR(ROUND(COUNTIFS(Donnees_Brutes!C2:C987,"Vie politique CH",Donnees_Brutes!E2:E987,"G")/COUNTIF(Donnees_Brutes!C2:C987,"Vie politique CH")*100,1),"—")</f>
        <v/>
      </c>
      <c r="G37" s="143">
        <f>IFERROR(ROUND((COUNTIFS(Donnees_Brutes!C2:C987,"Vie politique CH",Donnees_Brutes!E2:E987,"N")+COUNTIFS(Donnees_Brutes!C2:C987,"Vie politique CH",Donnees_Brutes!E2:E987,"Neutre"))/COUNTIF(Donnees_Brutes!C2:C987,"Vie politique CH")*100,1),"—")</f>
        <v/>
      </c>
      <c r="H37" s="143">
        <f>IFERROR(ROUND(COUNTIFS(Donnees_Brutes!C2:C987,"Vie politique CH",Donnees_Brutes!E2:E987,"D")/COUNTIF(Donnees_Brutes!C2:C987,"Vie politique CH")*100,1),"—")</f>
        <v/>
      </c>
    </row>
    <row r="38" ht="15.75" customHeight="1" s="109">
      <c r="A38" s="37" t="inlineStr">
        <is>
          <t>Prevention</t>
        </is>
      </c>
      <c r="B38" s="37" t="inlineStr">
        <is>
          <t>Sante</t>
        </is>
      </c>
      <c r="C38" s="145">
        <f>COUNTIF(Donnees_Brutes!C2:C987,"Prevention")</f>
        <v/>
      </c>
      <c r="D38" s="142" t="n">
        <v>48.3</v>
      </c>
      <c r="E38" s="136" t="n"/>
      <c r="F38" s="41">
        <f>IFERROR(ROUND(COUNTIFS(Donnees_Brutes!C2:C987,"Prevention",Donnees_Brutes!E2:E987,"G")/COUNTIF(Donnees_Brutes!C2:C987,"Prevention")*100,1),"—")</f>
        <v/>
      </c>
      <c r="G38" s="145">
        <f>IFERROR(ROUND((COUNTIFS(Donnees_Brutes!C2:C987,"Prevention",Donnees_Brutes!E2:E987,"N")+COUNTIFS(Donnees_Brutes!C2:C987,"Prevention",Donnees_Brutes!E2:E987,"Neutre"))/COUNTIF(Donnees_Brutes!C2:C987,"Prevention")*100,1),"—")</f>
        <v/>
      </c>
      <c r="H38" s="145">
        <f>IFERROR(ROUND(COUNTIFS(Donnees_Brutes!C2:C987,"Prevention",Donnees_Brutes!E2:E987,"D")/COUNTIF(Donnees_Brutes!C2:C987,"Prevention")*100,1),"—")</f>
        <v/>
      </c>
    </row>
    <row r="39" ht="15.75" customHeight="1" s="109">
      <c r="A39" s="39" t="inlineStr">
        <is>
          <t>Sport</t>
        </is>
      </c>
      <c r="B39" s="39" t="inlineStr">
        <is>
          <t>Culture &amp; Loisirs</t>
        </is>
      </c>
      <c r="C39" s="143">
        <f>COUNTIF(Donnees_Brutes!C2:C987,"Sport")</f>
        <v/>
      </c>
      <c r="D39" s="144" t="n">
        <v>48.8</v>
      </c>
      <c r="E39" s="136" t="n"/>
      <c r="F39" s="143">
        <f>IFERROR(ROUND(COUNTIFS(Donnees_Brutes!C2:C987,"Sport",Donnees_Brutes!E2:E987,"G")/COUNTIF(Donnees_Brutes!C2:C987,"Sport")*100,1),"—")</f>
        <v/>
      </c>
      <c r="G39" s="143">
        <f>IFERROR(ROUND((COUNTIFS(Donnees_Brutes!C2:C987,"Sport",Donnees_Brutes!E2:E987,"N")+COUNTIFS(Donnees_Brutes!C2:C987,"Sport",Donnees_Brutes!E2:E987,"Neutre"))/COUNTIF(Donnees_Brutes!C2:C987,"Sport")*100,1),"—")</f>
        <v/>
      </c>
      <c r="H39" s="143">
        <f>IFERROR(ROUND(COUNTIFS(Donnees_Brutes!C2:C987,"Sport",Donnees_Brutes!E2:E987,"D")/COUNTIF(Donnees_Brutes!C2:C987,"Sport")*100,1),"—")</f>
        <v/>
      </c>
    </row>
    <row r="40" ht="19.5" customHeight="1" s="109">
      <c r="A40" s="146" t="inlineStr">
        <is>
          <t>ANOVA sous-catégories : F=6.8, p=2.14e-18 → Différences significatives</t>
        </is>
      </c>
    </row>
    <row r="42" ht="42" customHeight="1" s="109">
      <c r="A42" s="137" t="inlineStr">
        <is>
          <t xml:space="preserve">Résultat : Le degré d'orientation varie significativement entre les catégories et sous-catégories (p &lt; 10⁻¹⁴). Les catégories Société &amp; Droits (43,1), Environnement (43,7) et International (44,1) sont les plus orientées. Les sous-catégories Immigration (36,7), Énergie (40), et Question de Genre (40) sont les plus orientées. </t>
        </is>
      </c>
    </row>
  </sheetData>
  <mergeCells count="39">
    <mergeCell ref="D20:E20"/>
    <mergeCell ref="D19:E19"/>
    <mergeCell ref="D34:E34"/>
    <mergeCell ref="C9:E9"/>
    <mergeCell ref="D22:E22"/>
    <mergeCell ref="A1:H1"/>
    <mergeCell ref="D36:E36"/>
    <mergeCell ref="D31:E31"/>
    <mergeCell ref="C12:E12"/>
    <mergeCell ref="D21:E21"/>
    <mergeCell ref="C11:E11"/>
    <mergeCell ref="A16:H16"/>
    <mergeCell ref="D27:E27"/>
    <mergeCell ref="C8:E8"/>
    <mergeCell ref="D32:E32"/>
    <mergeCell ref="C7:E7"/>
    <mergeCell ref="D17:E17"/>
    <mergeCell ref="C13:E13"/>
    <mergeCell ref="A2:H2"/>
    <mergeCell ref="D37:E37"/>
    <mergeCell ref="A42:H42"/>
    <mergeCell ref="D28:E28"/>
    <mergeCell ref="A14:H14"/>
    <mergeCell ref="D18:E18"/>
    <mergeCell ref="C6:E6"/>
    <mergeCell ref="D39:E39"/>
    <mergeCell ref="D25:E25"/>
    <mergeCell ref="A4:H4"/>
    <mergeCell ref="A40:H40"/>
    <mergeCell ref="D30:E30"/>
    <mergeCell ref="C5:E5"/>
    <mergeCell ref="D24:E24"/>
    <mergeCell ref="D33:E33"/>
    <mergeCell ref="D29:E29"/>
    <mergeCell ref="D23:E23"/>
    <mergeCell ref="D38:E38"/>
    <mergeCell ref="D26:E26"/>
    <mergeCell ref="D35:E35"/>
    <mergeCell ref="C10:E10"/>
  </mergeCells>
  <printOptions horizontalCentered="1"/>
  <pageMargins left="0.75" right="0.75" top="1" bottom="1" header="0.5" footer="0.5"/>
  <pageSetup orientation="portrait" paperSize="9" scale="94" fitToHeight="0" horizontalDpi="300" verticalDpi="300"/>
</worksheet>
</file>

<file path=xl/worksheets/sheet5.xml><?xml version="1.0" encoding="utf-8"?>
<worksheet xmlns="http://schemas.openxmlformats.org/spreadsheetml/2006/main">
  <sheetPr>
    <outlinePr summaryBelow="1" summaryRight="1"/>
    <pageSetUpPr fitToPage="1"/>
  </sheetPr>
  <dimension ref="A1:I9"/>
  <sheetViews>
    <sheetView zoomScaleNormal="100" workbookViewId="0">
      <selection activeCell="B6" sqref="B6"/>
    </sheetView>
  </sheetViews>
  <sheetFormatPr baseColWidth="10" defaultColWidth="8.6640625" defaultRowHeight="15"/>
  <cols>
    <col width="18.5" customWidth="1" style="109" min="1" max="1"/>
    <col width="9.1640625" customWidth="1" style="109" min="2" max="2"/>
    <col width="9" customWidth="1" style="109" min="3" max="3"/>
    <col width="10.83203125" customWidth="1" style="109" min="4" max="4"/>
    <col width="11.6640625" customWidth="1" style="109" min="5" max="5"/>
    <col width="10.5" customWidth="1" style="109" min="6" max="6"/>
    <col width="10.83203125" customWidth="1" style="109" min="7" max="7"/>
    <col width="5" customWidth="1" style="109" min="8" max="8"/>
    <col width="17.5" customWidth="1" style="109" min="9" max="9"/>
  </cols>
  <sheetData>
    <row r="1" ht="31.5" customHeight="1" s="109">
      <c r="A1" s="122" t="inlineStr">
        <is>
          <t>ENGAGEMENT DU PUBLIC PAR SEGMENT ÉDITORIAL</t>
        </is>
      </c>
    </row>
    <row r="2" ht="30.75" customHeight="1" s="109">
      <c r="A2" s="129" t="inlineStr">
        <is>
          <t xml:space="preserve">Analyse : Corrélation entre le score éditorial et les indicateurs d’engagement (likes, commentaires, ratio likes/vues). Pearson r = corrélation linéaire. Spearman rs = corrélation de rang (robuste aux outliers). </t>
        </is>
      </c>
    </row>
    <row r="3" ht="13.5" customHeight="1" s="109">
      <c r="A3" s="147" t="n"/>
    </row>
    <row r="4" ht="39.75" customFormat="1" customHeight="1" s="43">
      <c r="A4" s="128" t="inlineStr">
        <is>
          <t>Corrélation</t>
        </is>
      </c>
      <c r="B4" s="128" t="inlineStr">
        <is>
          <t>Pearson r</t>
        </is>
      </c>
      <c r="C4" s="128" t="inlineStr">
        <is>
          <t>p-value (Pearson)</t>
        </is>
      </c>
      <c r="D4" s="128" t="inlineStr">
        <is>
          <t>Significatif?</t>
        </is>
      </c>
      <c r="E4" s="128" t="inlineStr">
        <is>
          <t>Spearman rs</t>
        </is>
      </c>
      <c r="F4" s="128" t="inlineStr">
        <is>
          <t>p-value (Spearman)</t>
        </is>
      </c>
      <c r="G4" s="128" t="inlineStr">
        <is>
          <t>Significatif?</t>
        </is>
      </c>
      <c r="H4" s="128" t="inlineStr">
        <is>
          <t>R²</t>
        </is>
      </c>
      <c r="I4" s="128" t="inlineStr">
        <is>
          <t>Interprétation</t>
        </is>
      </c>
    </row>
    <row r="5" ht="51.75" customHeight="1" s="109">
      <c r="A5" s="44" t="inlineStr">
        <is>
          <t>Score vs Ratio Comentaires/Likes</t>
        </is>
      </c>
      <c r="B5" s="45">
        <f>CORREL(Donnees_Brutes!D2:D986,Donnees_Brutes!K2:K986)</f>
        <v/>
      </c>
      <c r="C5" s="46">
        <f>_xlfn.T.DIST.2T(ABS(CORREL(Donnees_Brutes!D2:D986,Donnees_Brutes!K2:K986))*SQRT(985-2)/SQRT(1-CORREL(Donnees_Brutes!D2:D986,Donnees_Brutes!K2:K986)^2),985-2)</f>
        <v/>
      </c>
      <c r="D5" s="47" t="inlineStr">
        <is>
          <t>OUI ✓</t>
        </is>
      </c>
      <c r="E5" s="48">
        <f t="array" ref="E5">CORREL(_xlfn.RANK.AVG(Donnees_Brutes!D2:D986,Donnees_Brutes!D2:D986,1),_xlfn.RANK.AVG(Donnees_Brutes!K2:K986,Donnees_Brutes!K2:K986,1))</f>
        <v/>
      </c>
      <c r="F5" s="46">
        <f>_xlfn.T.DIST.2T(ABS(B5)*SQRT(985-2)/SQRT(1-B5^2),985-2)</f>
        <v/>
      </c>
      <c r="G5" s="47" t="inlineStr">
        <is>
          <t>OUI ✓</t>
        </is>
      </c>
      <c r="H5" s="49">
        <f>CORREL(Donnees_Brutes!D2:D986,Donnees_Brutes!K2:K986)^2</f>
        <v/>
      </c>
      <c r="I5" s="50" t="inlineStr">
        <is>
          <t>Sig. négative : les posts orientés gauche suscitent + de réactions relatives</t>
        </is>
      </c>
    </row>
    <row r="6" ht="39" customHeight="1" s="109">
      <c r="A6" s="51" t="inlineStr">
        <is>
          <t>Score vs Likes</t>
        </is>
      </c>
      <c r="B6" s="45">
        <f>CORREL(Donnees_Brutes!D2:D986,Donnees_Brutes!M2:M986)</f>
        <v/>
      </c>
      <c r="C6" s="52">
        <f>_xlfn.T.DIST.2T(ABS(CORREL(Donnees_Brutes!D2:D986,Donnees_Brutes!M2:M986))*SQRT(985-2)/SQRT(1-CORREL(Donnees_Brutes!D2:D986,Donnees_Brutes!M2:M986)^2),985-2)</f>
        <v/>
      </c>
      <c r="D6" s="53" t="inlineStr">
        <is>
          <t>Non</t>
        </is>
      </c>
      <c r="E6" s="54">
        <f t="array" ref="E6">CORREL(_xlfn.RANK.AVG(Donnees_Brutes!D2:D986,Donnees_Brutes!D2:D986,1),_xlfn.RANK.AVG(Donnees_Brutes!M2:M986,Donnees_Brutes!M2:M986,1))</f>
        <v/>
      </c>
      <c r="F6" s="52">
        <f>_xlfn.T.DIST.2T(ABS(E6)*SQRT(985-2)/SQRT(1-E6^2),985-2)</f>
        <v/>
      </c>
      <c r="G6" s="53" t="inlineStr">
        <is>
          <t>Non</t>
        </is>
      </c>
      <c r="H6" s="55">
        <f>CORREL(Donnees_Brutes!D2:D986,Donnees_Brutes!M2:M986)^2</f>
        <v/>
      </c>
      <c r="I6" s="56" t="inlineStr">
        <is>
          <t>Non significatif : l'orientation n'affecte pas le nb de likes</t>
        </is>
      </c>
    </row>
    <row r="7" ht="51.75" customHeight="1" s="109">
      <c r="A7" s="57" t="inlineStr">
        <is>
          <t>Score vs Commentaires</t>
        </is>
      </c>
      <c r="B7" s="45">
        <f>CORREL(Donnees_Brutes!D2:D986,Donnees_Brutes!L2:L986)</f>
        <v/>
      </c>
      <c r="C7" s="58">
        <f>_xlfn.T.DIST.2T(ABS(CORREL(Donnees_Brutes!D2:D986,Donnees_Brutes!L2:L986))*SQRT(985-2)/SQRT(1-CORREL(Donnees_Brutes!D2:D986,Donnees_Brutes!L2:L986)^2),985-2)</f>
        <v/>
      </c>
      <c r="D7" s="59" t="inlineStr">
        <is>
          <t>Non</t>
        </is>
      </c>
      <c r="E7" s="60">
        <f t="array" ref="E7">CORREL(_xlfn.RANK.AVG(Donnees_Brutes!D2:D986,Donnees_Brutes!D2:D986,1),_xlfn.RANK.AVG(Donnees_Brutes!L2:L986,Donnees_Brutes!L2:L986,1))</f>
        <v/>
      </c>
      <c r="F7" s="61">
        <f>_xlfn.T.DIST.2T(ABS(E7)*SQRT(985-2)/SQRT(1-E7^2),985-2)</f>
        <v/>
      </c>
      <c r="G7" s="62" t="inlineStr">
        <is>
          <t>OUI ✓</t>
        </is>
      </c>
      <c r="H7" s="63">
        <f>CORREL(Donnees_Brutes!D2:D986,Donnees_Brutes!L2:L986)^2</f>
        <v/>
      </c>
      <c r="I7" s="64" t="inlineStr">
        <is>
          <t>Sig. (Spearman) : posts orientés gauche sucitent + de commentaires</t>
        </is>
      </c>
    </row>
    <row r="8" ht="39" customHeight="1" s="109">
      <c r="A8" s="44" t="inlineStr">
        <is>
          <t>Score vs % Critique</t>
        </is>
      </c>
      <c r="B8" s="45">
        <f>CORREL(Donnees_Brutes!D2:D986,Donnees_Brutes!I2:I986)</f>
        <v/>
      </c>
      <c r="C8" s="46">
        <f>_xlfn.T.DIST.2T(ABS(CORREL(Donnees_Brutes!D2:D986,Donnees_Brutes!I2:I986))*SQRT(985-2)/SQRT(1-CORREL(Donnees_Brutes!D2:D986,Donnees_Brutes!I2:I986)^2),985-2)</f>
        <v/>
      </c>
      <c r="D8" s="47" t="inlineStr">
        <is>
          <t>OUI ✓</t>
        </is>
      </c>
      <c r="E8" s="48">
        <f t="array" ref="E8">CORREL(_xlfn.RANK.AVG(Donnees_Brutes!D2:D986,Donnees_Brutes!D2:D986,1),_xlfn.RANK.AVG(Donnees_Brutes!I2:I986,Donnees_Brutes!I2:I986,1))</f>
        <v/>
      </c>
      <c r="F8" s="46">
        <f>_xlfn.T.DIST.2T(ABS(E8)*SQRT(985-2)/SQRT(1-E8^2),985-2)</f>
        <v/>
      </c>
      <c r="G8" s="47" t="inlineStr">
        <is>
          <t>OUI ✓</t>
        </is>
      </c>
      <c r="H8" s="49">
        <f>CORREL(Donnees_Brutes!D2:D986,Donnees_Brutes!I2:I986)^2</f>
        <v/>
      </c>
      <c r="I8" s="50" t="inlineStr">
        <is>
          <t>Sig. : plus un post est orienté gauche, + il est critiqué dans les coms</t>
        </is>
      </c>
    </row>
    <row r="9" ht="46.5" customHeight="1" s="109">
      <c r="A9" s="137" t="inlineStr">
        <is>
          <t>Résultats  : 3 corrélations significatives sur 4. Score vs % Critique (r=-0.12, p=0.0002) : signal le plus fort — l'audience détecte et sanctionne les contenus orientés. Score vs Ratio C/L (r=-0.10, p=0.001) : les posts orientés gauche provoquent proportionnellement plus de réactions. Likes : aucune corrélation significative — les contenus orientés n' influencent pas le nombre de likes.</t>
        </is>
      </c>
    </row>
  </sheetData>
  <mergeCells count="4">
    <mergeCell ref="A1:I1"/>
    <mergeCell ref="A9:I9"/>
    <mergeCell ref="A2:I2"/>
    <mergeCell ref="A3:I3"/>
  </mergeCells>
  <printOptions horizontalCentered="1"/>
  <pageMargins left="0.75" right="0.75" top="1" bottom="1" header="0.5" footer="0.5"/>
  <pageSetup orientation="portrait" paperSize="9" scale="78" fitToHeight="0" horizontalDpi="300" verticalDpi="300"/>
</worksheet>
</file>

<file path=xl/worksheets/sheet6.xml><?xml version="1.0" encoding="utf-8"?>
<worksheet xmlns="http://schemas.openxmlformats.org/spreadsheetml/2006/main">
  <sheetPr>
    <outlinePr summaryBelow="1" summaryRight="1"/>
    <pageSetUpPr fitToPage="1"/>
  </sheetPr>
  <dimension ref="A1:D52"/>
  <sheetViews>
    <sheetView showGridLines="0" zoomScaleNormal="100" workbookViewId="0">
      <selection activeCell="B6" sqref="B6"/>
    </sheetView>
  </sheetViews>
  <sheetFormatPr baseColWidth="10" defaultColWidth="8.6640625" defaultRowHeight="15"/>
  <cols>
    <col width="22" customWidth="1" style="109" min="1" max="1"/>
    <col width="28" customWidth="1" style="109" min="2" max="4"/>
  </cols>
  <sheetData>
    <row r="1" ht="31.5" customHeight="1" s="109">
      <c r="A1" s="122" t="inlineStr">
        <is>
          <t>ANALYSE DES COMMENTAIRES — CRITIQUES DU PUBLIC ENVERS RTS</t>
        </is>
      </c>
    </row>
    <row r="2" ht="19.5" customHeight="1" s="109">
      <c r="A2" s="149" t="inlineStr">
        <is>
          <t>Analyse : Détection par l’IA des commentaires où l’audience critique explicitement le traitement éditorial de RTS, agrégés par thème avec extraction des motifs récurrents.</t>
        </is>
      </c>
    </row>
    <row r="3">
      <c r="A3" s="120" t="inlineStr">
        <is>
          <t>INDICATEURS GLOBAUX</t>
        </is>
      </c>
    </row>
    <row r="4">
      <c r="A4" s="125" t="inlineStr">
        <is>
          <t>Commentaires analysés</t>
        </is>
      </c>
      <c r="B4" s="125" t="inlineStr">
        <is>
          <t>% de commentaires critiques</t>
        </is>
      </c>
      <c r="D4" s="125" t="inlineStr">
        <is>
          <t>% posts critiqués</t>
        </is>
      </c>
    </row>
    <row r="5">
      <c r="A5" s="139">
        <f>SUM(Donnees_Brutes!J2:J987)</f>
        <v/>
      </c>
      <c r="B5" s="148">
        <f>ROUND(SUM(Donnees_Brutes!I2:I987)/SUM(Donnees_Brutes!J2:J987)*100,1)</f>
        <v/>
      </c>
      <c r="D5" s="139">
        <f>ROUND(COUNTIF(Donnees_Brutes!G2:G987,"Oui")/COUNTA(Donnees_Brutes!A2:A987)*100,1)</f>
        <v/>
      </c>
    </row>
    <row r="6">
      <c r="A6" s="120" t="inlineStr">
        <is>
          <t>PAR THÈME</t>
        </is>
      </c>
    </row>
    <row r="7" ht="19.5" customHeight="1" s="109">
      <c r="A7" s="128" t="inlineStr">
        <is>
          <t>Thème</t>
        </is>
      </c>
      <c r="B7" s="128" t="inlineStr">
        <is>
          <t>N total</t>
        </is>
      </c>
      <c r="C7" s="128" t="inlineStr">
        <is>
          <t>% de commentaires critiques</t>
        </is>
      </c>
      <c r="D7" s="128" t="inlineStr">
        <is>
          <t>% posts critiqués</t>
        </is>
      </c>
    </row>
    <row r="8" ht="11.25" customFormat="1" customHeight="1" s="84">
      <c r="A8" s="95" t="inlineStr">
        <is>
          <t>Societe &amp; Droits</t>
        </is>
      </c>
      <c r="B8" s="80">
        <f>COUNTIF(Donnees_Brutes!B2:B987,"Societe &amp; Droits")</f>
        <v/>
      </c>
      <c r="C8" s="79">
        <f>IFERROR(ROUND(SUMIF(Donnees_Brutes!B2:B987,"Societe &amp; Droits",Donnees_Brutes!I2:I987)/SUMIF(Donnees_Brutes!B2:B987,"Societe &amp; Droits",Donnees_Brutes!J2:J987)*100,1),"—")</f>
        <v/>
      </c>
      <c r="D8" s="80" t="inlineStr">
        <is>
          <t>38.6%</t>
        </is>
      </c>
    </row>
    <row r="9" ht="11.25" customFormat="1" customHeight="1" s="84">
      <c r="A9" s="96" t="inlineStr">
        <is>
          <t>International</t>
        </is>
      </c>
      <c r="B9" s="87">
        <f>COUNTIF(Donnees_Brutes!B2:B987,"International")</f>
        <v/>
      </c>
      <c r="C9" s="89">
        <f>IFERROR(ROUND(SUMIF(Donnees_Brutes!B2:B987,"International",Donnees_Brutes!I2:I987)/SUMIF(Donnees_Brutes!B2:B987,"International",Donnees_Brutes!J2:J987)*100,1),"—")</f>
        <v/>
      </c>
      <c r="D9" s="97" t="inlineStr">
        <is>
          <t>57.5%</t>
        </is>
      </c>
    </row>
    <row r="10" ht="11.25" customFormat="1" customHeight="1" s="84">
      <c r="A10" s="95" t="inlineStr">
        <is>
          <t>Culture &amp; Loisirs</t>
        </is>
      </c>
      <c r="B10" s="80">
        <f>COUNTIF(Donnees_Brutes!B2:B987,"Culture &amp; Loisirs")</f>
        <v/>
      </c>
      <c r="C10" s="79">
        <f>IFERROR(ROUND(SUMIF(Donnees_Brutes!B2:B987,"Culture &amp; Loisirs",Donnees_Brutes!I2:I987)/SUMIF(Donnees_Brutes!B2:B987,"Culture &amp; Loisirs",Donnees_Brutes!J2:J987)*100,1),"—")</f>
        <v/>
      </c>
      <c r="D10" s="80" t="inlineStr">
        <is>
          <t>35.3%</t>
        </is>
      </c>
    </row>
    <row r="11" ht="11.25" customFormat="1" customHeight="1" s="84">
      <c r="A11" s="96" t="inlineStr">
        <is>
          <t>Environnement &amp; Nature</t>
        </is>
      </c>
      <c r="B11" s="87">
        <f>COUNTIF(Donnees_Brutes!B2:B987,"Environnement &amp; Nature")</f>
        <v/>
      </c>
      <c r="C11" s="86">
        <f>IFERROR(ROUND(SUMIF(Donnees_Brutes!B2:B987,"Environnement &amp; Nature",Donnees_Brutes!I2:I987)/SUMIF(Donnees_Brutes!B2:B987,"Environnement &amp; Nature",Donnees_Brutes!J2:J987)*100,1),"—")</f>
        <v/>
      </c>
      <c r="D11" s="97" t="inlineStr">
        <is>
          <t>48.2%</t>
        </is>
      </c>
    </row>
    <row r="12" ht="11.25" customFormat="1" customHeight="1" s="84">
      <c r="A12" s="95" t="inlineStr">
        <is>
          <t>Securite &amp; Justice</t>
        </is>
      </c>
      <c r="B12" s="80">
        <f>COUNTIF(Donnees_Brutes!B2:B987,"Securite &amp; Justice")</f>
        <v/>
      </c>
      <c r="C12" s="79">
        <f>IFERROR(ROUND(SUMIF(Donnees_Brutes!B2:B987,"Securite &amp; Justice",Donnees_Brutes!I2:I987)/SUMIF(Donnees_Brutes!B2:B987,"Securite &amp; Justice",Donnees_Brutes!J2:J987)*100,1),"—")</f>
        <v/>
      </c>
      <c r="D12" s="80" t="inlineStr">
        <is>
          <t>30.1%</t>
        </is>
      </c>
    </row>
    <row r="13" ht="11.25" customFormat="1" customHeight="1" s="84">
      <c r="A13" s="96" t="inlineStr">
        <is>
          <t>Sante</t>
        </is>
      </c>
      <c r="B13" s="87">
        <f>COUNTIF(Donnees_Brutes!B2:B987,"Sante")</f>
        <v/>
      </c>
      <c r="C13" s="86">
        <f>IFERROR(ROUND(SUMIF(Donnees_Brutes!B2:B987,"Sante",Donnees_Brutes!I2:I987)/SUMIF(Donnees_Brutes!B2:B987,"Sante",Donnees_Brutes!J2:J987)*100,1),"—")</f>
        <v/>
      </c>
      <c r="D13" s="97" t="inlineStr">
        <is>
          <t>46.1%</t>
        </is>
      </c>
    </row>
    <row r="14" ht="11.25" customFormat="1" customHeight="1" s="84">
      <c r="A14" s="95" t="inlineStr">
        <is>
          <t>Economie &amp; Travail</t>
        </is>
      </c>
      <c r="B14" s="80">
        <f>COUNTIF(Donnees_Brutes!B2:B987,"Economie &amp; Travail")</f>
        <v/>
      </c>
      <c r="C14" s="79">
        <f>IFERROR(ROUND(SUMIF(Donnees_Brutes!B2:B987,"Economie &amp; Travail",Donnees_Brutes!I2:I987)/SUMIF(Donnees_Brutes!B2:B987,"Economie &amp; Travail",Donnees_Brutes!J2:J987)*100,1),"—")</f>
        <v/>
      </c>
      <c r="D14" s="80" t="inlineStr">
        <is>
          <t>36.6%</t>
        </is>
      </c>
    </row>
    <row r="15" ht="11.25" customFormat="1" customHeight="1" s="84">
      <c r="A15" s="96" t="inlineStr">
        <is>
          <t>Politique &amp; Institutions</t>
        </is>
      </c>
      <c r="B15" s="87">
        <f>COUNTIF(Donnees_Brutes!B2:B987,"Politique &amp; Institutions")</f>
        <v/>
      </c>
      <c r="C15" s="86">
        <f>IFERROR(ROUND(SUMIF(Donnees_Brutes!B2:B987,"Politique &amp; Institutions",Donnees_Brutes!I2:I987)/SUMIF(Donnees_Brutes!B2:B987,"Politique &amp; Institutions",Donnees_Brutes!J2:J987)*100,1),"—")</f>
        <v/>
      </c>
      <c r="D15" s="87" t="inlineStr">
        <is>
          <t>27.2%</t>
        </is>
      </c>
    </row>
    <row r="17">
      <c r="A17" t="inlineStr">
        <is>
          <t>Thème</t>
        </is>
      </c>
      <c r="B17" t="inlineStr">
        <is>
          <t>% posts critiqués</t>
        </is>
      </c>
      <c r="C17" t="inlineStr">
        <is>
          <t>Thème</t>
        </is>
      </c>
      <c r="D17" t="inlineStr">
        <is>
          <t>Ratio %</t>
        </is>
      </c>
    </row>
    <row r="18">
      <c r="A18" t="inlineStr">
        <is>
          <t>Culture &amp; Loisirs</t>
        </is>
      </c>
      <c r="B18" t="n">
        <v>35.3</v>
      </c>
      <c r="C18" t="inlineStr">
        <is>
          <t>Culture &amp; Loisirs</t>
        </is>
      </c>
      <c r="D18" t="n">
        <v>6.5</v>
      </c>
    </row>
    <row r="19">
      <c r="A19" t="inlineStr">
        <is>
          <t>Economie &amp; Travail</t>
        </is>
      </c>
      <c r="B19" t="n">
        <v>36.6</v>
      </c>
      <c r="C19" t="inlineStr">
        <is>
          <t>Economie &amp; Travail</t>
        </is>
      </c>
      <c r="D19" t="n">
        <v>7.2</v>
      </c>
    </row>
    <row r="20">
      <c r="A20" t="inlineStr">
        <is>
          <t>Environnement &amp; Nature</t>
        </is>
      </c>
      <c r="B20" t="n">
        <v>48.2</v>
      </c>
      <c r="C20" t="inlineStr">
        <is>
          <t>Environnement &amp; Nature</t>
        </is>
      </c>
      <c r="D20" t="n">
        <v>11.4</v>
      </c>
    </row>
    <row r="21">
      <c r="A21" t="inlineStr">
        <is>
          <t>International</t>
        </is>
      </c>
      <c r="B21" t="n">
        <v>57.5</v>
      </c>
      <c r="C21" t="inlineStr">
        <is>
          <t>International</t>
        </is>
      </c>
      <c r="D21" t="n">
        <v>14.1</v>
      </c>
    </row>
    <row r="22">
      <c r="A22" t="inlineStr">
        <is>
          <t>Politique &amp; Institutions</t>
        </is>
      </c>
      <c r="B22" t="n">
        <v>27.2</v>
      </c>
      <c r="C22" t="inlineStr">
        <is>
          <t>Politique &amp; Institutions</t>
        </is>
      </c>
      <c r="D22" t="n">
        <v>7</v>
      </c>
    </row>
    <row r="23">
      <c r="A23" t="inlineStr">
        <is>
          <t>Sante</t>
        </is>
      </c>
      <c r="B23" t="n">
        <v>46.1</v>
      </c>
      <c r="C23" t="inlineStr">
        <is>
          <t>Sante</t>
        </is>
      </c>
      <c r="D23" t="n">
        <v>11.9</v>
      </c>
    </row>
    <row r="24">
      <c r="C24" t="inlineStr">
        <is>
          <t>Securite &amp; Justice</t>
        </is>
      </c>
      <c r="D24" t="n">
        <v>8.4</v>
      </c>
    </row>
    <row r="25">
      <c r="C25" t="inlineStr">
        <is>
          <t>Societe &amp; Droits</t>
        </is>
      </c>
      <c r="D25" t="n">
        <v>9.300000000000001</v>
      </c>
    </row>
    <row r="29" ht="19.5" customHeight="1" s="109">
      <c r="A29" s="120" t="inlineStr">
        <is>
          <t>TOP 3 MOTIFS PAR THÈME — Que reproche l'audience à RTS ?</t>
        </is>
      </c>
    </row>
    <row r="30">
      <c r="A30" s="128" t="inlineStr">
        <is>
          <t>Thème</t>
        </is>
      </c>
      <c r="B30" s="128" t="inlineStr">
        <is>
          <t>Motif #1</t>
        </is>
      </c>
      <c r="C30" s="128" t="inlineStr">
        <is>
          <t>Motif #2</t>
        </is>
      </c>
      <c r="D30" s="128" t="inlineStr">
        <is>
          <t>Motif #3</t>
        </is>
      </c>
    </row>
    <row r="31" ht="18" customHeight="1" s="109">
      <c r="A31" s="65" t="inlineStr">
        <is>
          <t>Culture &amp; Loisirs</t>
        </is>
      </c>
      <c r="B31" s="76" t="inlineStr">
        <is>
          <t>Un commentaire conteste le caractère exceptionnel des attributs physiques du joueur</t>
        </is>
      </c>
      <c r="C31" s="76" t="inlineStr">
        <is>
          <t>Un commentaire juge honteux que le média aborde ce sujet</t>
        </is>
      </c>
      <c r="D31" s="76" t="inlineStr">
        <is>
          <t>Statistiques et affirmation sur la popularité du héros contestées</t>
        </is>
      </c>
    </row>
    <row r="32" ht="18" customHeight="1" s="109">
      <c r="A32" s="66" t="inlineStr">
        <is>
          <t>Economie &amp; Travail</t>
        </is>
      </c>
      <c r="B32" s="77" t="inlineStr">
        <is>
          <t>Critique de l'exactitude des informations sur la taxe de séjour</t>
        </is>
      </c>
      <c r="C32" s="77" t="inlineStr">
        <is>
          <t>Un commentaire juge l'information obsolète</t>
        </is>
      </c>
      <c r="D32" s="77" t="inlineStr">
        <is>
          <t>Le reportage manque de sujets plus mobilisateurs</t>
        </is>
      </c>
    </row>
    <row r="33">
      <c r="A33" s="65" t="inlineStr">
        <is>
          <t>Environnement &amp; Nature</t>
        </is>
      </c>
      <c r="B33" s="76" t="inlineStr">
        <is>
          <t>Répétition info</t>
        </is>
      </c>
      <c r="C33" s="76" t="inlineStr">
        <is>
          <t>Choix éditoriaux contradictoires</t>
        </is>
      </c>
      <c r="D33" s="76" t="inlineStr">
        <is>
          <t>Manque de rigueur scientifique</t>
        </is>
      </c>
    </row>
    <row r="34" ht="18" customHeight="1" s="109">
      <c r="A34" s="66" t="inlineStr">
        <is>
          <t>International</t>
        </is>
      </c>
      <c r="B34" s="77" t="inlineStr">
        <is>
          <t>Biais perçu</t>
        </is>
      </c>
      <c r="C34" s="77" t="inlineStr">
        <is>
          <t>Manque d'objectivité</t>
        </is>
      </c>
      <c r="D34" s="77" t="inlineStr">
        <is>
          <t>Ton et informations jugées incomplètes ou non véridiques</t>
        </is>
      </c>
    </row>
    <row r="35">
      <c r="A35" s="65" t="inlineStr">
        <is>
          <t>Politique &amp; Institutions</t>
        </is>
      </c>
      <c r="B35" s="76" t="inlineStr">
        <is>
          <t>Portée limitée aux grandes villes</t>
        </is>
      </c>
      <c r="C35" s="76" t="inlineStr">
        <is>
          <t>Simplifie étiquettes politiques</t>
        </is>
      </c>
      <c r="D35" s="76" t="inlineStr">
        <is>
          <t>Terminologie "copilote" imprécise</t>
        </is>
      </c>
    </row>
    <row r="36" ht="18" customHeight="1" s="109">
      <c r="A36" s="66" t="inlineStr">
        <is>
          <t>Sante</t>
        </is>
      </c>
      <c r="B36" s="77" t="inlineStr">
        <is>
          <t>Accusé d'installer une peur constante et d'analyse excessive</t>
        </is>
      </c>
      <c r="C36" s="77" t="inlineStr">
        <is>
          <t>Profondeur du traitement jugée insuffisante</t>
        </is>
      </c>
      <c r="D36" s="77" t="inlineStr">
        <is>
          <t>Appel à plus d'action</t>
        </is>
      </c>
    </row>
    <row r="37" ht="18" customHeight="1" s="109">
      <c r="A37" s="65" t="inlineStr">
        <is>
          <t>Securite &amp; Justice</t>
        </is>
      </c>
      <c r="B37" s="76" t="inlineStr">
        <is>
          <t>Contenu de l'interview ou l'efficacité policière jugé inexact par un commentaire</t>
        </is>
      </c>
      <c r="C37" s="76" t="inlineStr">
        <is>
          <t>Critique de l'importance donnée au criminel par le média</t>
        </is>
      </c>
      <c r="D37" s="76" t="inlineStr">
        <is>
          <t>Manque de données genrées par le média</t>
        </is>
      </c>
    </row>
    <row r="38" ht="18" customHeight="1" s="109">
      <c r="A38" s="66" t="inlineStr">
        <is>
          <t>Societe &amp; Droits</t>
        </is>
      </c>
      <c r="B38" s="77" t="inlineStr">
        <is>
          <t>Remise en question du cadre colonial implicite de la progression du français</t>
        </is>
      </c>
      <c r="C38" s="77" t="inlineStr">
        <is>
          <t>Manque de clarté dans la présentation des données (tableau manquant)</t>
        </is>
      </c>
      <c r="D38" s="77" t="inlineStr">
        <is>
          <t>Originalité/vérification de l'info remise en question par un commentaire</t>
        </is>
      </c>
    </row>
    <row r="39" ht="37.5" customHeight="1" s="109">
      <c r="A39" s="137" t="inlineStr">
        <is>
          <t>Résultat : 39,8% des publications suscitent des critiques. Toute publications confondues, 9.20% des commentaires critiquent le traitement éditorial RTS. Les thèmes International (14,1%), Santé (11,9%) et Environnement (11,4%) concentrent les taux les plus élevés — correspondant exactement aux thèmes identifiés comme les plus orientés politiquement.</t>
        </is>
      </c>
    </row>
    <row r="40">
      <c r="A40" s="67" t="n"/>
      <c r="B40" s="67" t="n"/>
      <c r="C40" s="67" t="n"/>
      <c r="D40" s="67" t="n"/>
    </row>
    <row r="41" ht="15" customHeight="1" s="109">
      <c r="A41" s="120" t="inlineStr">
        <is>
          <t>Taux de critique par segment de score</t>
        </is>
      </c>
    </row>
    <row r="43">
      <c r="A43" t="inlineStr">
        <is>
          <t>Segment</t>
        </is>
      </c>
      <c r="B43" t="inlineStr">
        <is>
          <t>% Critique</t>
        </is>
      </c>
    </row>
    <row r="44">
      <c r="A44" t="inlineStr">
        <is>
          <t>Gauche (&lt;40)</t>
        </is>
      </c>
      <c r="B44">
        <f>COUNTIFS(Donnees_Brutes!D2:D986,"&lt;40",Donnees_Brutes!G2:G986,"Oui")/COUNTIF(Donnees_Brutes!D2:D986,"&lt;40")*100</f>
        <v/>
      </c>
    </row>
    <row r="45">
      <c r="A45" t="inlineStr">
        <is>
          <t>Modérés 40-49</t>
        </is>
      </c>
      <c r="B45">
        <f>COUNTIFS(Donnees_Brutes!D2:D986,"&gt;=40",Donnees_Brutes!D2:D986,"&lt;=49",Donnees_Brutes!G2:G986,"Oui")/COUNTIFS(Donnees_Brutes!D2:D986,"&gt;=40",Donnees_Brutes!D2:D986,"&lt;=49")*100</f>
        <v/>
      </c>
    </row>
    <row r="46">
      <c r="A46" t="inlineStr">
        <is>
          <t>Score=50</t>
        </is>
      </c>
      <c r="B46">
        <f>COUNTIFS(Donnees_Brutes!D2:D986,"=50",Donnees_Brutes!G2:G986,"Oui")/COUNTIF(Donnees_Brutes!D2:D986,"=50")*100</f>
        <v/>
      </c>
    </row>
    <row r="47">
      <c r="A47" t="inlineStr">
        <is>
          <t>Modérés 51-60</t>
        </is>
      </c>
      <c r="B47">
        <f>COUNTIFS(Donnees_Brutes!D2:D986,"&gt;=51",Donnees_Brutes!D2:D986,"&lt;=60",Donnees_Brutes!G2:G986,"Oui")/COUNTIFS(Donnees_Brutes!D2:D986,"&gt;=51",Donnees_Brutes!D2:D986,"&lt;=60")*100</f>
        <v/>
      </c>
    </row>
    <row r="48">
      <c r="A48" t="inlineStr">
        <is>
          <t>Droite (&gt;60)</t>
        </is>
      </c>
      <c r="B48">
        <f>COUNTIFS(Donnees_Brutes!D2:D986,"&gt;60",Donnees_Brutes!G2:G986,"Oui")/COUNTIF(Donnees_Brutes!D2:D986,"&gt;60")*100</f>
        <v/>
      </c>
    </row>
    <row r="52" ht="30" customHeight="1" s="109">
      <c r="A52" s="137" t="inlineStr">
        <is>
          <t>Résultats: Les posts orientés sont critiqués par l’audience ~58% du temps, contre ~41% pour les posts modérés — le public perçoit les déséquilibres.</t>
        </is>
      </c>
    </row>
  </sheetData>
  <mergeCells count="10">
    <mergeCell ref="A1:D1"/>
    <mergeCell ref="A6:D6"/>
    <mergeCell ref="B5:C5"/>
    <mergeCell ref="A3:D3"/>
    <mergeCell ref="A39:D39"/>
    <mergeCell ref="A52:D52"/>
    <mergeCell ref="A29:D29"/>
    <mergeCell ref="A41:D41"/>
    <mergeCell ref="A2:D2"/>
    <mergeCell ref="B4:C4"/>
  </mergeCells>
  <printOptions horizontalCentered="1"/>
  <pageMargins left="0.75" right="0.75" top="1" bottom="1" header="0.5" footer="0.5"/>
  <pageSetup orientation="portrait" paperSize="9" scale="76" fitToHeight="0" horizontalDpi="300" verticalDpi="300"/>
  <drawing xmlns:r="http://schemas.openxmlformats.org/officeDocument/2006/relationships" r:id="rId1"/>
</worksheet>
</file>

<file path=xl/worksheets/sheet7.xml><?xml version="1.0" encoding="utf-8"?>
<worksheet xmlns="http://schemas.openxmlformats.org/spreadsheetml/2006/main">
  <sheetPr>
    <outlinePr summaryBelow="1" summaryRight="1"/>
    <pageSetUpPr fitToPage="1"/>
  </sheetPr>
  <dimension ref="A1:H58"/>
  <sheetViews>
    <sheetView showGridLines="0" zoomScaleNormal="100" workbookViewId="0">
      <selection activeCell="B6" sqref="B6"/>
    </sheetView>
  </sheetViews>
  <sheetFormatPr baseColWidth="10" defaultColWidth="8.6640625" defaultRowHeight="15"/>
  <cols>
    <col width="20.1640625" customWidth="1" style="109" min="1" max="1"/>
    <col width="18" customWidth="1" style="109" min="2" max="2"/>
    <col width="8" customWidth="1" style="109" min="3" max="3"/>
    <col width="9.1640625" customWidth="1" style="109" min="4" max="5"/>
    <col width="8" customWidth="1" style="109" min="6" max="6"/>
    <col width="17.5" customWidth="1" style="109" min="7" max="7"/>
    <col width="10.33203125" customWidth="1" style="109" min="8" max="8"/>
    <col width="8" customWidth="1" style="109" min="9" max="9"/>
  </cols>
  <sheetData>
    <row r="1" ht="17.25" customHeight="1" s="109">
      <c r="A1" s="122" t="inlineStr">
        <is>
          <t>ANALYSE DE LA FRÉQUENCE THÉMATIQUE</t>
        </is>
      </c>
    </row>
    <row r="2" ht="24" customHeight="1" s="109">
      <c r="A2" s="153" t="inlineStr">
        <is>
          <t>Analyse: Ce feuillet mesure si la RTS surreprésentent certains sujets au détriment d'autres, en comparant la distribution réelle à une distribution uniforme théorique, testée par Chi².</t>
        </is>
      </c>
    </row>
    <row r="3">
      <c r="A3" s="120" t="inlineStr">
        <is>
          <t>FRÉQUENCE PAR CATEGORIE</t>
        </is>
      </c>
    </row>
    <row r="4" ht="24.75" customHeight="1" s="109">
      <c r="A4" s="128" t="inlineStr">
        <is>
          <t>Catégorie</t>
        </is>
      </c>
      <c r="B4" s="128" t="inlineStr">
        <is>
          <t>N</t>
        </is>
      </c>
      <c r="C4" s="128" t="inlineStr">
        <is>
          <t>% du corpus</t>
        </is>
      </c>
      <c r="D4" s="128" t="inlineStr">
        <is>
          <t>% attendu</t>
        </is>
      </c>
      <c r="E4" s="128" t="inlineStr">
        <is>
          <t>Ratio</t>
        </is>
      </c>
      <c r="F4" s="128" t="inlineStr">
        <is>
          <t>Résultat</t>
        </is>
      </c>
      <c r="H4" s="128" t="inlineStr">
        <is>
          <t>Score Moy.</t>
        </is>
      </c>
    </row>
    <row r="5" ht="11.25" customFormat="1" customHeight="1" s="84">
      <c r="A5" s="95" t="inlineStr">
        <is>
          <t>Culture &amp; Loisirs</t>
        </is>
      </c>
      <c r="B5" s="79">
        <f>COUNTIF(Donnees_Brutes!B2:B987,"Culture &amp; Loisirs")</f>
        <v/>
      </c>
      <c r="C5" s="80">
        <f>ROUND(COUNTIF(Donnees_Brutes!B2:B987,"Culture &amp; Loisirs")/COUNTA(Donnees_Brutes!A2:A987)*100,1)</f>
        <v/>
      </c>
      <c r="D5" s="81" t="inlineStr">
        <is>
          <t>12.5%</t>
        </is>
      </c>
      <c r="E5" s="82" t="n">
        <v>1.54</v>
      </c>
      <c r="F5" s="154" t="inlineStr">
        <is>
          <t>SURREPRÉSENTÉ ↑</t>
        </is>
      </c>
      <c r="G5" s="132" t="n"/>
      <c r="H5" s="80">
        <f>IFERROR(ROUND(AVERAGEIF(Donnees_Brutes!B2:B987,"Culture &amp; Loisirs",Donnees_Brutes!D2:D987),1),"—")</f>
        <v/>
      </c>
    </row>
    <row r="6" ht="11.25" customFormat="1" customHeight="1" s="84">
      <c r="A6" s="96" t="inlineStr">
        <is>
          <t>Societe &amp; Droits</t>
        </is>
      </c>
      <c r="B6" s="86">
        <f>COUNTIF(Donnees_Brutes!B2:B987,"Societe &amp; Droits")</f>
        <v/>
      </c>
      <c r="C6" s="87">
        <f>ROUND(COUNTIF(Donnees_Brutes!B2:B987,"Societe &amp; Droits")/COUNTA(Donnees_Brutes!A2:A987)*100,1)</f>
        <v/>
      </c>
      <c r="D6" s="88" t="inlineStr">
        <is>
          <t>12.5%</t>
        </is>
      </c>
      <c r="E6" s="89" t="n">
        <v>1.54</v>
      </c>
      <c r="F6" s="155" t="inlineStr">
        <is>
          <t>SURREPRÉSENTÉ ↑</t>
        </is>
      </c>
      <c r="G6" s="132" t="n"/>
      <c r="H6" s="97">
        <f>IFERROR(ROUND(AVERAGEIF(Donnees_Brutes!B2:B987,"Societe &amp; Droits",Donnees_Brutes!D2:D987),1),"—")</f>
        <v/>
      </c>
    </row>
    <row r="7" ht="11.25" customFormat="1" customHeight="1" s="84">
      <c r="A7" s="95" t="inlineStr">
        <is>
          <t>Securite &amp; Justice</t>
        </is>
      </c>
      <c r="B7" s="79">
        <f>COUNTIF(Donnees_Brutes!B2:B987,"Securite &amp; Justice")</f>
        <v/>
      </c>
      <c r="C7" s="80">
        <f>ROUND(COUNTIF(Donnees_Brutes!B2:B987,"Securite &amp; Justice")/COUNTA(Donnees_Brutes!A2:A987)*100,1)</f>
        <v/>
      </c>
      <c r="D7" s="81" t="inlineStr">
        <is>
          <t>12.5%</t>
        </is>
      </c>
      <c r="E7" s="79" t="n">
        <v>1.1</v>
      </c>
      <c r="F7" s="152" t="inlineStr">
        <is>
          <t>Équilibré</t>
        </is>
      </c>
      <c r="G7" s="132" t="n"/>
      <c r="H7" s="98">
        <f>IFERROR(ROUND(AVERAGEIF(Donnees_Brutes!B2:B987,"Securite &amp; Justice",Donnees_Brutes!D2:D987),1),"—")</f>
        <v/>
      </c>
    </row>
    <row r="8" ht="11.25" customFormat="1" customHeight="1" s="84">
      <c r="A8" s="96" t="inlineStr">
        <is>
          <t>International</t>
        </is>
      </c>
      <c r="B8" s="86">
        <f>COUNTIF(Donnees_Brutes!B2:B987,"International")</f>
        <v/>
      </c>
      <c r="C8" s="87">
        <f>ROUND(COUNTIF(Donnees_Brutes!B2:B987,"International")/COUNTA(Donnees_Brutes!A2:A987)*100,1)</f>
        <v/>
      </c>
      <c r="D8" s="88" t="inlineStr">
        <is>
          <t>12.5%</t>
        </is>
      </c>
      <c r="E8" s="86" t="n">
        <v>0.98</v>
      </c>
      <c r="F8" s="156" t="inlineStr">
        <is>
          <t>Équilibré</t>
        </is>
      </c>
      <c r="G8" s="132" t="n"/>
      <c r="H8" s="97">
        <f>IFERROR(ROUND(AVERAGEIF(Donnees_Brutes!B2:B987,"International",Donnees_Brutes!D2:D987),1),"—")</f>
        <v/>
      </c>
    </row>
    <row r="9" ht="11.25" customFormat="1" customHeight="1" s="84">
      <c r="A9" s="95" t="inlineStr">
        <is>
          <t>Environnement &amp; Nature</t>
        </is>
      </c>
      <c r="B9" s="79">
        <f>COUNTIF(Donnees_Brutes!B2:B987,"Environnement &amp; Nature")</f>
        <v/>
      </c>
      <c r="C9" s="80">
        <f>ROUND(COUNTIF(Donnees_Brutes!B2:B987,"Environnement &amp; Nature")/COUNTA(Donnees_Brutes!A2:A987)*100,1)</f>
        <v/>
      </c>
      <c r="D9" s="81" t="inlineStr">
        <is>
          <t>12.5%</t>
        </is>
      </c>
      <c r="E9" s="79" t="n">
        <v>0.9</v>
      </c>
      <c r="F9" s="152" t="inlineStr">
        <is>
          <t>Équilibré</t>
        </is>
      </c>
      <c r="G9" s="132" t="n"/>
      <c r="H9" s="98">
        <f>IFERROR(ROUND(AVERAGEIF(Donnees_Brutes!B2:B987,"Environnement &amp; Nature",Donnees_Brutes!D2:D987),1),"—")</f>
        <v/>
      </c>
    </row>
    <row r="10" ht="11.25" customFormat="1" customHeight="1" s="84">
      <c r="A10" s="96" t="inlineStr">
        <is>
          <t>Sante</t>
        </is>
      </c>
      <c r="B10" s="86">
        <f>COUNTIF(Donnees_Brutes!B2:B987,"Sante")</f>
        <v/>
      </c>
      <c r="C10" s="87">
        <f>ROUND(COUNTIF(Donnees_Brutes!B2:B987,"Sante")/COUNTA(Donnees_Brutes!A2:A987)*100,1)</f>
        <v/>
      </c>
      <c r="D10" s="88" t="inlineStr">
        <is>
          <t>12.5%</t>
        </is>
      </c>
      <c r="E10" s="99" t="n">
        <v>0.72</v>
      </c>
      <c r="F10" s="150" t="inlineStr">
        <is>
          <t>SOUS-REPRÉSENTÉ ↓</t>
        </is>
      </c>
      <c r="G10" s="132" t="n"/>
      <c r="H10" s="97">
        <f>IFERROR(ROUND(AVERAGEIF(Donnees_Brutes!B2:B987,"Sante",Donnees_Brutes!D2:D987),1),"—")</f>
        <v/>
      </c>
    </row>
    <row r="11" ht="11.25" customFormat="1" customHeight="1" s="84">
      <c r="A11" s="95" t="inlineStr">
        <is>
          <t>Politique &amp; Institutions</t>
        </is>
      </c>
      <c r="B11" s="79">
        <f>COUNTIF(Donnees_Brutes!B2:B987,"Politique &amp; Institutions")</f>
        <v/>
      </c>
      <c r="C11" s="80">
        <f>ROUND(COUNTIF(Donnees_Brutes!B2:B987,"Politique &amp; Institutions")/COUNTA(Donnees_Brutes!A2:A987)*100,1)</f>
        <v/>
      </c>
      <c r="D11" s="81" t="inlineStr">
        <is>
          <t>12.5%</t>
        </is>
      </c>
      <c r="E11" s="100" t="n">
        <v>0.66</v>
      </c>
      <c r="F11" s="151" t="inlineStr">
        <is>
          <t>SOUS-REPRÉSENTÉ ↓</t>
        </is>
      </c>
      <c r="G11" s="132" t="n"/>
      <c r="H11" s="80">
        <f>IFERROR(ROUND(AVERAGEIF(Donnees_Brutes!B2:B987,"Politique &amp; Institutions",Donnees_Brutes!D2:D987),1),"—")</f>
        <v/>
      </c>
    </row>
    <row r="12" ht="11.25" customFormat="1" customHeight="1" s="84">
      <c r="A12" s="96" t="inlineStr">
        <is>
          <t>Economie &amp; Travail</t>
        </is>
      </c>
      <c r="B12" s="86">
        <f>COUNTIF(Donnees_Brutes!B2:B987,"Economie &amp; Travail")</f>
        <v/>
      </c>
      <c r="C12" s="87">
        <f>ROUND(COUNTIF(Donnees_Brutes!B2:B987,"Economie &amp; Travail")/COUNTA(Donnees_Brutes!A2:A987)*100,1)</f>
        <v/>
      </c>
      <c r="D12" s="88" t="inlineStr">
        <is>
          <t>12.5%</t>
        </is>
      </c>
      <c r="E12" s="99" t="n">
        <v>0.58</v>
      </c>
      <c r="F12" s="150" t="inlineStr">
        <is>
          <t>SOUS-REPRÉSENTÉ ↓</t>
        </is>
      </c>
      <c r="G12" s="132" t="n"/>
      <c r="H12" s="97">
        <f>IFERROR(ROUND(AVERAGEIF(Donnees_Brutes!B2:B987,"Economie &amp; Travail",Donnees_Brutes!D2:D987),1),"—")</f>
        <v/>
      </c>
    </row>
    <row r="13">
      <c r="A13" s="146" t="inlineStr">
        <is>
          <t>Chi² (distribution uniforme) : χ²=120.2, p=6.94e-23 → La distribution thématique est statistiquement NON uniforme.</t>
        </is>
      </c>
    </row>
    <row r="15">
      <c r="A15" s="120" t="inlineStr">
        <is>
          <t xml:space="preserve">FRÉQUENCE PAR SOUS-CATÉGORIE </t>
        </is>
      </c>
    </row>
    <row r="16">
      <c r="A16" s="128" t="inlineStr">
        <is>
          <t>Sous-Catégorie</t>
        </is>
      </c>
      <c r="B16" s="128" t="inlineStr">
        <is>
          <t>Thème</t>
        </is>
      </c>
      <c r="C16" s="128" t="inlineStr">
        <is>
          <t>N</t>
        </is>
      </c>
      <c r="D16" s="128" t="inlineStr">
        <is>
          <t>% corpus</t>
        </is>
      </c>
      <c r="E16" s="75" t="inlineStr">
        <is>
          <t>% attendu</t>
        </is>
      </c>
      <c r="F16" s="128" t="inlineStr">
        <is>
          <t>Ratio</t>
        </is>
      </c>
      <c r="G16" s="128" t="inlineStr">
        <is>
          <t>Résultat</t>
        </is>
      </c>
      <c r="H16" s="75" t="inlineStr">
        <is>
          <t>Score Moy.</t>
        </is>
      </c>
    </row>
    <row r="17" ht="11.25" customFormat="1" customHeight="1" s="84">
      <c r="A17" s="78" t="inlineStr">
        <is>
          <t>Faits de societe</t>
        </is>
      </c>
      <c r="B17" s="78" t="inlineStr">
        <is>
          <t>Societe &amp; Droits</t>
        </is>
      </c>
      <c r="C17" s="79">
        <f>COUNTIF(Donnees_Brutes!C2:C987,"Faits de societe")</f>
        <v/>
      </c>
      <c r="D17" s="80">
        <f>ROUND(COUNTIF(Donnees_Brutes!C2:C987,"Faits de societe")/COUNTA(Donnees_Brutes!A2:A987)*100,1)</f>
        <v/>
      </c>
      <c r="E17" s="81" t="inlineStr">
        <is>
          <t>4.5%</t>
        </is>
      </c>
      <c r="F17" s="82" t="n">
        <v>3.24</v>
      </c>
      <c r="G17" s="83" t="inlineStr">
        <is>
          <t>SURREPRÉSENTÉ ↑↑</t>
        </is>
      </c>
      <c r="H17" s="80">
        <f>IFERROR(ROUND(AVERAGEIF(Donnees_Brutes!C2:C987,"Faits de societe",Donnees_Brutes!D2:D987),1),"—")</f>
        <v/>
      </c>
    </row>
    <row r="18" ht="11.25" customFormat="1" customHeight="1" s="84">
      <c r="A18" s="85" t="inlineStr">
        <is>
          <t>Climat / Ecologie</t>
        </is>
      </c>
      <c r="B18" s="85" t="inlineStr">
        <is>
          <t>Environnement &amp; Nature</t>
        </is>
      </c>
      <c r="C18" s="86">
        <f>COUNTIF(Donnees_Brutes!C2:C987,"Climat / Ecologie")</f>
        <v/>
      </c>
      <c r="D18" s="87">
        <f>ROUND(COUNTIF(Donnees_Brutes!C2:C987,"Climat / Ecologie")/COUNTA(Donnees_Brutes!A2:A987)*100,1)</f>
        <v/>
      </c>
      <c r="E18" s="88" t="inlineStr">
        <is>
          <t>4.5%</t>
        </is>
      </c>
      <c r="F18" s="89" t="n">
        <v>2.36</v>
      </c>
      <c r="G18" s="90" t="inlineStr">
        <is>
          <t>SURREPRÉSENTÉ ↑↑</t>
        </is>
      </c>
      <c r="H18" s="87">
        <f>IFERROR(ROUND(AVERAGEIF(Donnees_Brutes!C2:C987,"Climat / Ecologie",Donnees_Brutes!D2:D987),1),"—")</f>
        <v/>
      </c>
    </row>
    <row r="19" ht="11.25" customFormat="1" customHeight="1" s="84">
      <c r="A19" s="78" t="inlineStr">
        <is>
          <t>Sport</t>
        </is>
      </c>
      <c r="B19" s="78" t="inlineStr">
        <is>
          <t>Culture &amp; Loisirs</t>
        </is>
      </c>
      <c r="C19" s="79">
        <f>COUNTIF(Donnees_Brutes!C2:C987,"Sport")</f>
        <v/>
      </c>
      <c r="D19" s="80">
        <f>ROUND(COUNTIF(Donnees_Brutes!C2:C987,"Sport")/COUNTA(Donnees_Brutes!A2:A987)*100,1)</f>
        <v/>
      </c>
      <c r="E19" s="81" t="inlineStr">
        <is>
          <t>4.5%</t>
        </is>
      </c>
      <c r="F19" s="82" t="n">
        <v>2.18</v>
      </c>
      <c r="G19" s="83" t="inlineStr">
        <is>
          <t>SURREPRÉSENTÉ ↑↑</t>
        </is>
      </c>
      <c r="H19" s="80">
        <f>IFERROR(ROUND(AVERAGEIF(Donnees_Brutes!C2:C987,"Sport",Donnees_Brutes!D2:D987),1),"—")</f>
        <v/>
      </c>
    </row>
    <row r="20" ht="11.25" customFormat="1" customHeight="1" s="84">
      <c r="A20" s="85" t="inlineStr">
        <is>
          <t>Sante publique</t>
        </is>
      </c>
      <c r="B20" s="85" t="inlineStr">
        <is>
          <t>Sante</t>
        </is>
      </c>
      <c r="C20" s="86">
        <f>COUNTIF(Donnees_Brutes!C2:C987,"Sante publique")</f>
        <v/>
      </c>
      <c r="D20" s="87">
        <f>ROUND(COUNTIF(Donnees_Brutes!C2:C987,"Sante publique")/COUNTA(Donnees_Brutes!A2:A987)*100,1)</f>
        <v/>
      </c>
      <c r="E20" s="88" t="inlineStr">
        <is>
          <t>4.5%</t>
        </is>
      </c>
      <c r="F20" s="86" t="n">
        <v>1.93</v>
      </c>
      <c r="G20" s="91" t="inlineStr">
        <is>
          <t>Équilibré</t>
        </is>
      </c>
      <c r="H20" s="87">
        <f>IFERROR(ROUND(AVERAGEIF(Donnees_Brutes!C2:C987,"Sante publique",Donnees_Brutes!D2:D987),1),"—")</f>
        <v/>
      </c>
    </row>
    <row r="21" ht="11.25" customFormat="1" customHeight="1" s="84">
      <c r="A21" s="78" t="inlineStr">
        <is>
          <t>Arts</t>
        </is>
      </c>
      <c r="B21" s="78" t="inlineStr">
        <is>
          <t>Culture &amp; Loisirs</t>
        </is>
      </c>
      <c r="C21" s="79">
        <f>COUNTIF(Donnees_Brutes!C2:C987,"Arts")</f>
        <v/>
      </c>
      <c r="D21" s="80">
        <f>ROUND(COUNTIF(Donnees_Brutes!C2:C987,"Arts")/COUNTA(Donnees_Brutes!A2:A987)*100,1)</f>
        <v/>
      </c>
      <c r="E21" s="81" t="inlineStr">
        <is>
          <t>4.5%</t>
        </is>
      </c>
      <c r="F21" s="79" t="n">
        <v>1.56</v>
      </c>
      <c r="G21" s="91" t="inlineStr">
        <is>
          <t>Équilibré</t>
        </is>
      </c>
      <c r="H21" s="80">
        <f>IFERROR(ROUND(AVERAGEIF(Donnees_Brutes!C2:C987,"Arts",Donnees_Brutes!D2:D987),1),"—")</f>
        <v/>
      </c>
    </row>
    <row r="22" ht="11.25" customFormat="1" customHeight="1" s="84">
      <c r="A22" s="85" t="inlineStr">
        <is>
          <t>Conflits</t>
        </is>
      </c>
      <c r="B22" s="85" t="inlineStr">
        <is>
          <t>International</t>
        </is>
      </c>
      <c r="C22" s="86">
        <f>COUNTIF(Donnees_Brutes!C2:C987,"Conflits")</f>
        <v/>
      </c>
      <c r="D22" s="87">
        <f>ROUND(COUNTIF(Donnees_Brutes!C2:C987,"Conflits")/COUNTA(Donnees_Brutes!A2:A987)*100,1)</f>
        <v/>
      </c>
      <c r="E22" s="88" t="inlineStr">
        <is>
          <t>4.5%</t>
        </is>
      </c>
      <c r="F22" s="86" t="n">
        <v>1.38</v>
      </c>
      <c r="G22" s="91" t="inlineStr">
        <is>
          <t>Équilibré</t>
        </is>
      </c>
      <c r="H22" s="87">
        <f>IFERROR(ROUND(AVERAGEIF(Donnees_Brutes!C2:C987,"Conflits",Donnees_Brutes!D2:D987),1),"—")</f>
        <v/>
      </c>
    </row>
    <row r="23" ht="11.25" customFormat="1" customHeight="1" s="84">
      <c r="A23" s="78" t="inlineStr">
        <is>
          <t>Geopolitique</t>
        </is>
      </c>
      <c r="B23" s="78" t="inlineStr">
        <is>
          <t>International</t>
        </is>
      </c>
      <c r="C23" s="79">
        <f>COUNTIF(Donnees_Brutes!C2:C987,"Geopolitique")</f>
        <v/>
      </c>
      <c r="D23" s="80">
        <f>ROUND(COUNTIF(Donnees_Brutes!C2:C987,"Geopolitique")/COUNTA(Donnees_Brutes!A2:A987)*100,1)</f>
        <v/>
      </c>
      <c r="E23" s="81" t="inlineStr">
        <is>
          <t>4.5%</t>
        </is>
      </c>
      <c r="F23" s="79" t="n">
        <v>1.33</v>
      </c>
      <c r="G23" s="91" t="inlineStr">
        <is>
          <t>Équilibré</t>
        </is>
      </c>
      <c r="H23" s="80">
        <f>IFERROR(ROUND(AVERAGEIF(Donnees_Brutes!C2:C987,"Geopolitique",Donnees_Brutes!D2:D987),1),"—")</f>
        <v/>
      </c>
    </row>
    <row r="24" ht="11.25" customFormat="1" customHeight="1" s="84">
      <c r="A24" s="85" t="inlineStr">
        <is>
          <t>Justice</t>
        </is>
      </c>
      <c r="B24" s="85" t="inlineStr">
        <is>
          <t>Securite &amp; Justice</t>
        </is>
      </c>
      <c r="C24" s="86">
        <f>COUNTIF(Donnees_Brutes!C2:C987,"Justice")</f>
        <v/>
      </c>
      <c r="D24" s="87">
        <f>ROUND(COUNTIF(Donnees_Brutes!C2:C987,"Justice")/COUNTA(Donnees_Brutes!A2:A987)*100,1)</f>
        <v/>
      </c>
      <c r="E24" s="88" t="inlineStr">
        <is>
          <t>4.5%</t>
        </is>
      </c>
      <c r="F24" s="86" t="n">
        <v>1.29</v>
      </c>
      <c r="G24" s="91" t="inlineStr">
        <is>
          <t>Équilibré</t>
        </is>
      </c>
      <c r="H24" s="87">
        <f>IFERROR(ROUND(AVERAGEIF(Donnees_Brutes!C2:C987,"Justice",Donnees_Brutes!D2:D987),1),"—")</f>
        <v/>
      </c>
    </row>
    <row r="25" ht="11.25" customFormat="1" customHeight="1" s="84">
      <c r="A25" s="78" t="inlineStr">
        <is>
          <t>Ordre public</t>
        </is>
      </c>
      <c r="B25" s="78" t="inlineStr">
        <is>
          <t>Securite &amp; Justice</t>
        </is>
      </c>
      <c r="C25" s="79">
        <f>COUNTIF(Donnees_Brutes!C2:C987,"Ordre public")</f>
        <v/>
      </c>
      <c r="D25" s="80">
        <f>ROUND(COUNTIF(Donnees_Brutes!C2:C987,"Ordre public")/COUNTA(Donnees_Brutes!A2:A987)*100,1)</f>
        <v/>
      </c>
      <c r="E25" s="81" t="inlineStr">
        <is>
          <t>4.5%</t>
        </is>
      </c>
      <c r="F25" s="79" t="n">
        <v>1.29</v>
      </c>
      <c r="G25" s="91" t="inlineStr">
        <is>
          <t>Équilibré</t>
        </is>
      </c>
      <c r="H25" s="80">
        <f>IFERROR(ROUND(AVERAGEIF(Donnees_Brutes!C2:C987,"Ordre public",Donnees_Brutes!D2:D987),1),"—")</f>
        <v/>
      </c>
    </row>
    <row r="26" ht="11.25" customFormat="1" customHeight="1" s="84">
      <c r="A26" s="85" t="inlineStr">
        <is>
          <t>Consommation</t>
        </is>
      </c>
      <c r="B26" s="85" t="inlineStr">
        <is>
          <t>Economie &amp; Travail</t>
        </is>
      </c>
      <c r="C26" s="86">
        <f>COUNTIF(Donnees_Brutes!C2:C987,"Consommation")</f>
        <v/>
      </c>
      <c r="D26" s="87">
        <f>ROUND(COUNTIF(Donnees_Brutes!C2:C987,"Consommation")/COUNTA(Donnees_Brutes!A2:A987)*100,1)</f>
        <v/>
      </c>
      <c r="E26" s="88" t="inlineStr">
        <is>
          <t>4.5%</t>
        </is>
      </c>
      <c r="F26" s="86" t="n">
        <v>1.02</v>
      </c>
      <c r="G26" s="91" t="inlineStr">
        <is>
          <t>Équilibré</t>
        </is>
      </c>
      <c r="H26" s="87">
        <f>IFERROR(ROUND(AVERAGEIF(Donnees_Brutes!C2:C987,"Consommation",Donnees_Brutes!D2:D987),1),"—")</f>
        <v/>
      </c>
    </row>
    <row r="27" ht="11.25" customFormat="1" customHeight="1" s="84">
      <c r="A27" s="78" t="inlineStr">
        <is>
          <t>Autorites</t>
        </is>
      </c>
      <c r="B27" s="78" t="inlineStr">
        <is>
          <t>Politique &amp; Institutions</t>
        </is>
      </c>
      <c r="C27" s="79">
        <f>COUNTIF(Donnees_Brutes!C2:C987,"Autorites")</f>
        <v/>
      </c>
      <c r="D27" s="80">
        <f>ROUND(COUNTIF(Donnees_Brutes!C2:C987,"Autorites")/COUNTA(Donnees_Brutes!A2:A987)*100,1)</f>
        <v/>
      </c>
      <c r="E27" s="81" t="inlineStr">
        <is>
          <t>4.5%</t>
        </is>
      </c>
      <c r="F27" s="79" t="n">
        <v>0.84</v>
      </c>
      <c r="G27" s="91" t="inlineStr">
        <is>
          <t>Équilibré</t>
        </is>
      </c>
      <c r="H27" s="80">
        <f>IFERROR(ROUND(AVERAGEIF(Donnees_Brutes!C2:C987,"Autorites",Donnees_Brutes!D2:D987),1),"—")</f>
        <v/>
      </c>
    </row>
    <row r="28" ht="11.25" customFormat="1" customHeight="1" s="84">
      <c r="A28" s="85" t="inlineStr">
        <is>
          <t>Medias</t>
        </is>
      </c>
      <c r="B28" s="85" t="inlineStr">
        <is>
          <t>Culture &amp; Loisirs</t>
        </is>
      </c>
      <c r="C28" s="86">
        <f>COUNTIF(Donnees_Brutes!C2:C987,"Medias")</f>
        <v/>
      </c>
      <c r="D28" s="87">
        <f>ROUND(COUNTIF(Donnees_Brutes!C2:C987,"Medias")/COUNTA(Donnees_Brutes!A2:A987)*100,1)</f>
        <v/>
      </c>
      <c r="E28" s="88" t="inlineStr">
        <is>
          <t>4.5%</t>
        </is>
      </c>
      <c r="F28" s="86" t="n">
        <v>0.53</v>
      </c>
      <c r="G28" s="91" t="inlineStr">
        <is>
          <t>Équilibré</t>
        </is>
      </c>
      <c r="H28" s="87">
        <f>IFERROR(ROUND(AVERAGEIF(Donnees_Brutes!C2:C987,"Medias",Donnees_Brutes!D2:D987),1),"—")</f>
        <v/>
      </c>
    </row>
    <row r="29" ht="11.25" customFormat="1" customHeight="1" s="84">
      <c r="A29" s="78" t="inlineStr">
        <is>
          <t>Questions de Genre</t>
        </is>
      </c>
      <c r="B29" s="78" t="inlineStr">
        <is>
          <t>Societe &amp; Droits</t>
        </is>
      </c>
      <c r="C29" s="79">
        <f>COUNTIF(Donnees_Brutes!C2:C987,"Questions de Genre")</f>
        <v/>
      </c>
      <c r="D29" s="80">
        <f>ROUND(COUNTIF(Donnees_Brutes!C2:C987,"Questions de Genre")/COUNTA(Donnees_Brutes!A2:A987)*100,1)</f>
        <v/>
      </c>
      <c r="E29" s="81" t="inlineStr">
        <is>
          <t>4.5%</t>
        </is>
      </c>
      <c r="F29" s="79" t="n">
        <v>0.51</v>
      </c>
      <c r="G29" s="91" t="inlineStr">
        <is>
          <t>Équilibré</t>
        </is>
      </c>
      <c r="H29" s="80">
        <f>IFERROR(ROUND(AVERAGEIF(Donnees_Brutes!C2:C987,"Questions de Genre",Donnees_Brutes!D2:D987),1),"—")</f>
        <v/>
      </c>
    </row>
    <row r="30" ht="11.25" customFormat="1" customHeight="1" s="84">
      <c r="A30" s="85" t="inlineStr">
        <is>
          <t>Votations</t>
        </is>
      </c>
      <c r="B30" s="85" t="inlineStr">
        <is>
          <t>Politique &amp; Institutions</t>
        </is>
      </c>
      <c r="C30" s="86">
        <f>COUNTIF(Donnees_Brutes!C2:C987,"Votations")</f>
        <v/>
      </c>
      <c r="D30" s="87">
        <f>ROUND(COUNTIF(Donnees_Brutes!C2:C987,"Votations")/COUNTA(Donnees_Brutes!A2:A987)*100,1)</f>
        <v/>
      </c>
      <c r="E30" s="88" t="inlineStr">
        <is>
          <t>4.5%</t>
        </is>
      </c>
      <c r="F30" s="86" t="n">
        <v>0.49</v>
      </c>
      <c r="G30" s="91" t="inlineStr">
        <is>
          <t>Équilibré</t>
        </is>
      </c>
      <c r="H30" s="87">
        <f>IFERROR(ROUND(AVERAGEIF(Donnees_Brutes!C2:C987,"Votations",Donnees_Brutes!D2:D987),1),"—")</f>
        <v/>
      </c>
    </row>
    <row r="31" ht="11.25" customFormat="1" customHeight="1" s="84">
      <c r="A31" s="78" t="inlineStr">
        <is>
          <t>Activites de Police</t>
        </is>
      </c>
      <c r="B31" s="78" t="inlineStr">
        <is>
          <t>Securite &amp; Justice</t>
        </is>
      </c>
      <c r="C31" s="79">
        <f>COUNTIF(Donnees_Brutes!C2:C987,"Activites de Police")</f>
        <v/>
      </c>
      <c r="D31" s="80">
        <f>ROUND(COUNTIF(Donnees_Brutes!C2:C987,"Activites de Police")/COUNTA(Donnees_Brutes!A2:A987)*100,1)</f>
        <v/>
      </c>
      <c r="E31" s="81" t="inlineStr">
        <is>
          <t>4.5%</t>
        </is>
      </c>
      <c r="F31" s="79" t="n">
        <v>0.49</v>
      </c>
      <c r="G31" s="91" t="inlineStr">
        <is>
          <t>Équilibré</t>
        </is>
      </c>
      <c r="H31" s="80">
        <f>IFERROR(ROUND(AVERAGEIF(Donnees_Brutes!C2:C987,"Activites de Police",Donnees_Brutes!D2:D987),1),"—")</f>
        <v/>
      </c>
    </row>
    <row r="32" ht="11.25" customFormat="1" customHeight="1" s="84">
      <c r="A32" s="85" t="inlineStr">
        <is>
          <t>Vie politique CH</t>
        </is>
      </c>
      <c r="B32" s="85" t="inlineStr">
        <is>
          <t>Politique &amp; Institutions</t>
        </is>
      </c>
      <c r="C32" s="86">
        <f>COUNTIF(Donnees_Brutes!C2:C987,"Vie politique CH")</f>
        <v/>
      </c>
      <c r="D32" s="87">
        <f>ROUND(COUNTIF(Donnees_Brutes!C2:C987,"Vie politique CH")/COUNTA(Donnees_Brutes!A2:A987)*100,1)</f>
        <v/>
      </c>
      <c r="E32" s="88" t="inlineStr">
        <is>
          <t>4.5%</t>
        </is>
      </c>
      <c r="F32" s="86" t="n">
        <v>0.49</v>
      </c>
      <c r="G32" s="91" t="inlineStr">
        <is>
          <t>Équilibré</t>
        </is>
      </c>
      <c r="H32" s="87">
        <f>IFERROR(ROUND(AVERAGEIF(Donnees_Brutes!C2:C987,"Vie politique CH",Donnees_Brutes!D2:D987),1),"—")</f>
        <v/>
      </c>
    </row>
    <row r="33" ht="11.25" customFormat="1" customHeight="1" s="84">
      <c r="A33" s="78" t="inlineStr">
        <is>
          <t>Marche du travail</t>
        </is>
      </c>
      <c r="B33" s="78" t="inlineStr">
        <is>
          <t>Economie &amp; Travail</t>
        </is>
      </c>
      <c r="C33" s="79">
        <f>COUNTIF(Donnees_Brutes!C2:C987,"Marche du travail")</f>
        <v/>
      </c>
      <c r="D33" s="80">
        <f>ROUND(COUNTIF(Donnees_Brutes!C2:C987,"Marche du travail")/COUNTA(Donnees_Brutes!A2:A987)*100,1)</f>
        <v/>
      </c>
      <c r="E33" s="81" t="inlineStr">
        <is>
          <t>4.5%</t>
        </is>
      </c>
      <c r="F33" s="79" t="n">
        <v>0.33</v>
      </c>
      <c r="G33" s="91" t="inlineStr">
        <is>
          <t>Équilibré</t>
        </is>
      </c>
      <c r="H33" s="80">
        <f>IFERROR(ROUND(AVERAGEIF(Donnees_Brutes!C2:C987,"Marche du travail",Donnees_Brutes!D2:D987),1),"—")</f>
        <v/>
      </c>
    </row>
    <row r="34" ht="11.25" customFormat="1" customHeight="1" s="84">
      <c r="A34" s="85" t="inlineStr">
        <is>
          <t>Immigration</t>
        </is>
      </c>
      <c r="B34" s="85" t="inlineStr">
        <is>
          <t>Societe &amp; Droits</t>
        </is>
      </c>
      <c r="C34" s="86">
        <f>COUNTIF(Donnees_Brutes!C2:C987,"Immigration")</f>
        <v/>
      </c>
      <c r="D34" s="87">
        <f>ROUND(COUNTIF(Donnees_Brutes!C2:C987,"Immigration")/COUNTA(Donnees_Brutes!A2:A987)*100,1)</f>
        <v/>
      </c>
      <c r="E34" s="88" t="inlineStr">
        <is>
          <t>4.5%</t>
        </is>
      </c>
      <c r="F34" s="92" t="n">
        <v>0.27</v>
      </c>
      <c r="G34" s="93" t="inlineStr">
        <is>
          <t>SOUS-REPRÉSENTÉ ↓</t>
        </is>
      </c>
      <c r="H34" s="87">
        <f>IFERROR(ROUND(AVERAGEIF(Donnees_Brutes!C2:C987,"Immigration",Donnees_Brutes!D2:D987),1),"—")</f>
        <v/>
      </c>
    </row>
    <row r="35" ht="11.25" customFormat="1" customHeight="1" s="84">
      <c r="A35" s="78" t="inlineStr">
        <is>
          <t>Agriculture</t>
        </is>
      </c>
      <c r="B35" s="78" t="inlineStr">
        <is>
          <t>Economie &amp; Travail</t>
        </is>
      </c>
      <c r="C35" s="79">
        <f>COUNTIF(Donnees_Brutes!C2:C987,"Agriculture")</f>
        <v/>
      </c>
      <c r="D35" s="80">
        <f>ROUND(COUNTIF(Donnees_Brutes!C2:C987,"Agriculture")/COUNTA(Donnees_Brutes!A2:A987)*100,1)</f>
        <v/>
      </c>
      <c r="E35" s="81" t="inlineStr">
        <is>
          <t>4.5%</t>
        </is>
      </c>
      <c r="F35" s="94" t="n">
        <v>0.24</v>
      </c>
      <c r="G35" s="93" t="inlineStr">
        <is>
          <t>SOUS-REPRÉSENTÉ ↓</t>
        </is>
      </c>
      <c r="H35" s="80">
        <f>IFERROR(ROUND(AVERAGEIF(Donnees_Brutes!C2:C987,"Agriculture",Donnees_Brutes!D2:D987),1),"—")</f>
        <v/>
      </c>
    </row>
    <row r="36" ht="11.25" customFormat="1" customHeight="1" s="84">
      <c r="A36" s="85" t="inlineStr">
        <is>
          <t>Education</t>
        </is>
      </c>
      <c r="B36" s="85" t="inlineStr">
        <is>
          <t>Societe &amp; Droits</t>
        </is>
      </c>
      <c r="C36" s="86">
        <f>COUNTIF(Donnees_Brutes!C2:C987,"Education")</f>
        <v/>
      </c>
      <c r="D36" s="87">
        <f>ROUND(COUNTIF(Donnees_Brutes!C2:C987,"Education")/COUNTA(Donnees_Brutes!A2:A987)*100,1)</f>
        <v/>
      </c>
      <c r="E36" s="88" t="inlineStr">
        <is>
          <t>4.5%</t>
        </is>
      </c>
      <c r="F36" s="92" t="n">
        <v>0.22</v>
      </c>
      <c r="G36" s="93" t="inlineStr">
        <is>
          <t>SOUS-REPRÉSENTÉ ↓</t>
        </is>
      </c>
      <c r="H36" s="87">
        <f>IFERROR(ROUND(AVERAGEIF(Donnees_Brutes!C2:C987,"Education",Donnees_Brutes!D2:D987),1),"—")</f>
        <v/>
      </c>
    </row>
    <row r="37" ht="11.25" customFormat="1" customHeight="1" s="84">
      <c r="A37" s="78" t="inlineStr">
        <is>
          <t>Energie</t>
        </is>
      </c>
      <c r="B37" s="78" t="inlineStr">
        <is>
          <t>Environnement &amp; Nature</t>
        </is>
      </c>
      <c r="C37" s="79">
        <f>COUNTIF(Donnees_Brutes!C2:C987,"Energie")</f>
        <v/>
      </c>
      <c r="D37" s="80">
        <f>ROUND(COUNTIF(Donnees_Brutes!C2:C987,"Energie")/COUNTA(Donnees_Brutes!A2:A987)*100,1)</f>
        <v/>
      </c>
      <c r="E37" s="81" t="inlineStr">
        <is>
          <t>4.5%</t>
        </is>
      </c>
      <c r="F37" s="94" t="n">
        <v>0.11</v>
      </c>
      <c r="G37" s="93" t="inlineStr">
        <is>
          <t>SOUS-REPRÉSENTÉ ↓</t>
        </is>
      </c>
      <c r="H37" s="80">
        <f>IFERROR(ROUND(AVERAGEIF(Donnees_Brutes!C2:C987,"Energie",Donnees_Brutes!D2:D987),1),"—")</f>
        <v/>
      </c>
    </row>
    <row r="38" ht="11.25" customFormat="1" customHeight="1" s="84">
      <c r="A38" s="85" t="inlineStr">
        <is>
          <t>Prevention</t>
        </is>
      </c>
      <c r="B38" s="85" t="inlineStr">
        <is>
          <t>Sante</t>
        </is>
      </c>
      <c r="C38" s="86">
        <f>COUNTIF(Donnees_Brutes!C2:C987,"Prevention")</f>
        <v/>
      </c>
      <c r="D38" s="87">
        <f>ROUND(COUNTIF(Donnees_Brutes!C2:C987,"Prevention")/COUNTA(Donnees_Brutes!A2:A987)*100,1)</f>
        <v/>
      </c>
      <c r="E38" s="88" t="inlineStr">
        <is>
          <t>4.5%</t>
        </is>
      </c>
      <c r="F38" s="92" t="n">
        <v>0.07000000000000001</v>
      </c>
      <c r="G38" s="93" t="inlineStr">
        <is>
          <t>SOUS-REPRÉSENTÉ ↓</t>
        </is>
      </c>
      <c r="H38" s="87">
        <f>IFERROR(ROUND(AVERAGEIF(Donnees_Brutes!C2:C987,"Prevention",Donnees_Brutes!D2:D987),1),"—")</f>
        <v/>
      </c>
    </row>
    <row r="39">
      <c r="A39" s="146" t="inlineStr">
        <is>
          <t>Chi² sous-catégories : χ²=656.2, p=2.30e-125 → Distribution hautement non uniforme.</t>
        </is>
      </c>
    </row>
    <row r="41">
      <c r="A41" t="inlineStr">
        <is>
          <t>Thème</t>
        </is>
      </c>
      <c r="B41" t="inlineStr">
        <is>
          <t>N réel</t>
        </is>
      </c>
      <c r="C41" t="inlineStr">
        <is>
          <t>N attendu (uniforme)</t>
        </is>
      </c>
      <c r="F41" t="inlineStr">
        <is>
          <t>Sous-Catégorie</t>
        </is>
      </c>
      <c r="G41" t="inlineStr">
        <is>
          <t>%</t>
        </is>
      </c>
      <c r="H41" t="inlineStr">
        <is>
          <t>% attendu</t>
        </is>
      </c>
    </row>
    <row r="42">
      <c r="A42" t="inlineStr">
        <is>
          <t>Culture &amp; Loisirs</t>
        </is>
      </c>
      <c r="B42">
        <f>COUNTIF(Donnees_Brutes!B2:B987,"Culture &amp; Loisirs")</f>
        <v/>
      </c>
      <c r="C42" t="n">
        <v>123</v>
      </c>
      <c r="F42" s="37" t="inlineStr">
        <is>
          <t>Societe &amp; Droits</t>
        </is>
      </c>
      <c r="G42" t="n">
        <v>14.6</v>
      </c>
      <c r="H42" s="68" t="n">
        <v>4.5</v>
      </c>
    </row>
    <row r="43">
      <c r="A43" t="inlineStr">
        <is>
          <t>Societe &amp; Droits</t>
        </is>
      </c>
      <c r="B43">
        <f>COUNTIF(Donnees_Brutes!B2:B987,"Societe &amp; Droits")</f>
        <v/>
      </c>
      <c r="C43" t="n">
        <v>123</v>
      </c>
      <c r="F43" s="39" t="inlineStr">
        <is>
          <t>Environnement &amp; Nature</t>
        </is>
      </c>
      <c r="G43" t="n">
        <v>10.6</v>
      </c>
      <c r="H43" s="69" t="n">
        <v>4.5</v>
      </c>
    </row>
    <row r="44">
      <c r="A44" t="inlineStr">
        <is>
          <t>Securite &amp; Justice</t>
        </is>
      </c>
      <c r="B44">
        <f>COUNTIF(Donnees_Brutes!B2:B987,"Securite &amp; Justice")</f>
        <v/>
      </c>
      <c r="C44" t="n">
        <v>123</v>
      </c>
      <c r="F44" s="37" t="inlineStr">
        <is>
          <t>Culture &amp; Loisirs</t>
        </is>
      </c>
      <c r="G44" t="n">
        <v>9.800000000000001</v>
      </c>
      <c r="H44" s="68" t="n">
        <v>4.5</v>
      </c>
    </row>
    <row r="45">
      <c r="A45" t="inlineStr">
        <is>
          <t>International</t>
        </is>
      </c>
      <c r="B45">
        <f>COUNTIF(Donnees_Brutes!B2:B987,"International")</f>
        <v/>
      </c>
      <c r="C45" t="n">
        <v>123</v>
      </c>
      <c r="F45" s="39" t="inlineStr">
        <is>
          <t>Societe &amp; Droits</t>
        </is>
      </c>
      <c r="G45" t="n">
        <v>1.2</v>
      </c>
      <c r="H45" s="68" t="n">
        <v>4.5</v>
      </c>
    </row>
    <row r="46">
      <c r="A46" t="inlineStr">
        <is>
          <t>Environnement &amp; Nature</t>
        </is>
      </c>
      <c r="B46">
        <f>COUNTIF(Donnees_Brutes!B2:B987,"Environnement &amp; Nature")</f>
        <v/>
      </c>
      <c r="C46" t="n">
        <v>123</v>
      </c>
      <c r="F46" s="37" t="inlineStr">
        <is>
          <t>Economie &amp; Travail</t>
        </is>
      </c>
      <c r="G46" t="n">
        <v>1.1</v>
      </c>
      <c r="H46" s="68" t="n">
        <v>4.5</v>
      </c>
    </row>
    <row r="47">
      <c r="A47" t="inlineStr">
        <is>
          <t>Sante</t>
        </is>
      </c>
      <c r="B47">
        <f>COUNTIF(Donnees_Brutes!B2:B987,"Sante")</f>
        <v/>
      </c>
      <c r="C47" t="n">
        <v>123</v>
      </c>
      <c r="F47" s="39" t="inlineStr">
        <is>
          <t>Societe &amp; Droits</t>
        </is>
      </c>
      <c r="G47" t="n">
        <v>1</v>
      </c>
      <c r="H47" s="68" t="n">
        <v>4.5</v>
      </c>
    </row>
    <row r="48">
      <c r="A48" t="inlineStr">
        <is>
          <t>Politique &amp; Institutions</t>
        </is>
      </c>
      <c r="B48">
        <f>COUNTIF(Donnees_Brutes!B2:B987,"Politique &amp; Institutions")</f>
        <v/>
      </c>
      <c r="C48" t="n">
        <v>123</v>
      </c>
      <c r="F48" s="37" t="inlineStr">
        <is>
          <t>Environnement &amp; Nature</t>
        </is>
      </c>
      <c r="G48" t="n">
        <v>0.5</v>
      </c>
      <c r="H48" s="68" t="n">
        <v>4.5</v>
      </c>
    </row>
    <row r="49">
      <c r="A49" t="inlineStr">
        <is>
          <t>Economie &amp; Travail</t>
        </is>
      </c>
      <c r="B49">
        <f>COUNTIF(Donnees_Brutes!B2:B987,"Economie &amp; Travail")</f>
        <v/>
      </c>
      <c r="C49" t="n">
        <v>123</v>
      </c>
      <c r="F49" s="39" t="inlineStr">
        <is>
          <t>Sante</t>
        </is>
      </c>
      <c r="G49" t="n">
        <v>0.3</v>
      </c>
      <c r="H49" s="68" t="n">
        <v>4.5</v>
      </c>
    </row>
    <row r="58" ht="54.75" customHeight="1" s="109">
      <c r="A58" s="137" t="inlineStr">
        <is>
          <t xml:space="preserve">Résultats: La répartition des thématiques n'est statistiquement pas uniforme (Chi²=120.2, p=6.94e-23 ). Culture &amp; Loisirs (19,3%) et Société &amp; Droits (19,2%) sont chacun 1,5× surreprésentés. Politique &amp; Institutions (8,2%) et Économie &amp; Travail (7,2%) sont sous-représentés à ~0,6× l'attendu. Au niveau des sous-catégories, 'Faits de société' (14,6%) domine, tandis qu'Immigration (1,2%) est massivement sous-représentée. </t>
        </is>
      </c>
    </row>
  </sheetData>
  <mergeCells count="16">
    <mergeCell ref="F4:G4"/>
    <mergeCell ref="A3:H3"/>
    <mergeCell ref="F12:G12"/>
    <mergeCell ref="A39:H39"/>
    <mergeCell ref="F11:G11"/>
    <mergeCell ref="A15:H15"/>
    <mergeCell ref="F10:G10"/>
    <mergeCell ref="A2:H2"/>
    <mergeCell ref="F5:G5"/>
    <mergeCell ref="F6:G6"/>
    <mergeCell ref="A13:H13"/>
    <mergeCell ref="A58:H58"/>
    <mergeCell ref="A1:H1"/>
    <mergeCell ref="F9:G9"/>
    <mergeCell ref="F7:G7"/>
    <mergeCell ref="F8:G8"/>
  </mergeCells>
  <printOptions horizontalCentered="1"/>
  <pageMargins left="0.75" right="0.75" top="1" bottom="1" header="0.5" footer="0.5"/>
  <pageSetup orientation="portrait" paperSize="9" scale="80" fitToHeight="0" horizontalDpi="300" verticalDpi="300"/>
  <drawing xmlns:r="http://schemas.openxmlformats.org/officeDocument/2006/relationships" r:id="rId1"/>
</worksheet>
</file>

<file path=xl/worksheets/sheet8.xml><?xml version="1.0" encoding="utf-8"?>
<worksheet xmlns="http://schemas.openxmlformats.org/spreadsheetml/2006/main">
  <sheetPr>
    <outlinePr summaryBelow="1" summaryRight="1"/>
    <pageSetUpPr fitToPage="1"/>
  </sheetPr>
  <dimension ref="A1:O987"/>
  <sheetViews>
    <sheetView showGridLines="0" topLeftCell="B1" zoomScaleNormal="100" workbookViewId="0">
      <pane ySplit="1" topLeftCell="A2" activePane="bottomLeft" state="frozen"/>
      <selection activeCell="B6" sqref="B6"/>
      <selection pane="bottomLeft" activeCell="B6" sqref="B6"/>
    </sheetView>
  </sheetViews>
  <sheetFormatPr baseColWidth="10" defaultColWidth="8.6640625" defaultRowHeight="15"/>
  <cols>
    <col width="38" customWidth="1" style="109" min="1" max="1"/>
    <col width="20" customWidth="1" style="109" min="2" max="2"/>
    <col width="18" customWidth="1" style="109" min="3" max="3"/>
    <col width="8" customWidth="1" style="118" min="4" max="5"/>
    <col width="38" customWidth="1" style="109" min="6" max="6"/>
    <col width="10" customWidth="1" style="118" min="7" max="7"/>
    <col width="38" customWidth="1" style="109" min="8" max="8"/>
    <col width="12" customWidth="1" style="118" min="9" max="12"/>
    <col width="10" customWidth="1" style="118" min="13" max="14"/>
    <col width="14" customWidth="1" style="109" min="15" max="15"/>
  </cols>
  <sheetData>
    <row r="1" ht="32.25" customHeight="1" s="109">
      <c r="A1" s="128" t="inlineStr">
        <is>
          <t>URL</t>
        </is>
      </c>
      <c r="B1" s="128" t="inlineStr">
        <is>
          <t>Theme_Global</t>
        </is>
      </c>
      <c r="C1" s="128" t="inlineStr">
        <is>
          <t>Sous_Categorie</t>
        </is>
      </c>
      <c r="D1" s="128" t="inlineStr">
        <is>
          <t>Media_Score</t>
        </is>
      </c>
      <c r="E1" s="128" t="inlineStr">
        <is>
          <t>Media_Cat</t>
        </is>
      </c>
      <c r="F1" s="128" t="inlineStr">
        <is>
          <t>Media_Justif</t>
        </is>
      </c>
      <c r="G1" s="128" t="inlineStr">
        <is>
          <t>Critique_Media</t>
        </is>
      </c>
      <c r="H1" s="128" t="inlineStr">
        <is>
          <t>Justif_Critique</t>
        </is>
      </c>
      <c r="I1" s="128" t="inlineStr">
        <is>
          <t>Nb_ComsCritiques</t>
        </is>
      </c>
      <c r="J1" s="128" t="inlineStr">
        <is>
          <t>Nb_ComsAnalyses</t>
        </is>
      </c>
      <c r="K1" s="128" t="inlineStr">
        <is>
          <t>Ratio_ComsCritique</t>
        </is>
      </c>
      <c r="L1" s="128" t="inlineStr">
        <is>
          <t>Coms_Total</t>
        </is>
      </c>
      <c r="M1" s="128" t="inlineStr">
        <is>
          <t>Likes</t>
        </is>
      </c>
      <c r="N1" s="128" t="inlineStr">
        <is>
          <t>Vues</t>
        </is>
      </c>
      <c r="O1" s="128" t="inlineStr">
        <is>
          <t>Type_Media</t>
        </is>
      </c>
    </row>
    <row r="2" ht="13.5" customHeight="1" s="109">
      <c r="A2" s="71" t="inlineStr">
        <is>
          <t>https://www.instagram.com/p/DWS-4QDCDsZ/</t>
        </is>
      </c>
      <c r="B2" s="72" t="inlineStr">
        <is>
          <t>Environnement &amp; Nature</t>
        </is>
      </c>
      <c r="C2" s="72" t="inlineStr">
        <is>
          <t>Climat / Ecologie</t>
        </is>
      </c>
      <c r="D2" s="73" t="n">
        <v>40</v>
      </c>
      <c r="E2" s="73" t="inlineStr">
        <is>
          <t>G</t>
        </is>
      </c>
      <c r="F2" s="72" t="inlineStr">
        <is>
          <t>RTS rapporte faits scientifiques sur l'urgence climatique et ses conséquences.</t>
        </is>
      </c>
      <c r="G2" s="73" t="inlineStr">
        <is>
          <t>Oui</t>
        </is>
      </c>
      <c r="H2" s="72" t="inlineStr">
        <is>
          <t>Répétition info, choix éditoriaux contradictoires.</t>
        </is>
      </c>
      <c r="I2" s="73" t="n">
        <v>2</v>
      </c>
      <c r="J2" s="73" t="n">
        <v>6</v>
      </c>
      <c r="K2" s="74">
        <f>IFERROR(I2/J2,0)</f>
        <v/>
      </c>
      <c r="L2" s="73" t="n">
        <v>8</v>
      </c>
      <c r="M2" s="73" t="n">
        <v>1275</v>
      </c>
      <c r="N2" s="73" t="n">
        <v>0</v>
      </c>
      <c r="O2" s="72" t="inlineStr">
        <is>
          <t>Image_Carrousel</t>
        </is>
      </c>
    </row>
    <row r="3" ht="13.5" customHeight="1" s="109">
      <c r="A3" s="35" t="inlineStr">
        <is>
          <t>https://www.instagram.com/p/DWToGP7DOKB/</t>
        </is>
      </c>
      <c r="B3" s="35" t="inlineStr">
        <is>
          <t>Environnement &amp; Nature</t>
        </is>
      </c>
      <c r="C3" s="35" t="inlineStr">
        <is>
          <t>Climat / Ecologie</t>
        </is>
      </c>
      <c r="D3" s="36" t="n">
        <v>50</v>
      </c>
      <c r="E3" s="36" t="inlineStr">
        <is>
          <t>N</t>
        </is>
      </c>
      <c r="F3" s="35" t="inlineStr">
        <is>
          <t>Reportage factuel et équilibré, présentant les arguments du canton et des communes.</t>
        </is>
      </c>
      <c r="G3" s="36" t="inlineStr">
        <is>
          <t>Non</t>
        </is>
      </c>
      <c r="H3" s="35" t="n"/>
      <c r="I3" s="36" t="n">
        <v>0</v>
      </c>
      <c r="J3" s="36" t="n">
        <v>5</v>
      </c>
      <c r="K3" s="74">
        <f>IFERROR(I3/J3,0)</f>
        <v/>
      </c>
      <c r="L3" s="36" t="n">
        <v>5</v>
      </c>
      <c r="M3" s="36" t="n">
        <v>613</v>
      </c>
      <c r="N3" s="36" t="n">
        <v>21607</v>
      </c>
      <c r="O3" s="35" t="inlineStr">
        <is>
          <t>Video</t>
        </is>
      </c>
    </row>
    <row r="4" ht="13.5" customHeight="1" s="109">
      <c r="A4" s="72" t="inlineStr">
        <is>
          <t>https://www.instagram.com/p/DWTGJrijMOR/</t>
        </is>
      </c>
      <c r="B4" s="72" t="inlineStr">
        <is>
          <t>International</t>
        </is>
      </c>
      <c r="C4" s="72" t="inlineStr">
        <is>
          <t>Conflits</t>
        </is>
      </c>
      <c r="D4" s="73" t="n">
        <v>50</v>
      </c>
      <c r="E4" s="73" t="inlineStr">
        <is>
          <t>N</t>
        </is>
      </c>
      <c r="F4" s="72" t="inlineStr">
        <is>
          <t>RTS rapporte des faits géopolitiques complexes de manière équilibrée et factuelle.</t>
        </is>
      </c>
      <c r="G4" s="73" t="inlineStr">
        <is>
          <t>Oui</t>
        </is>
      </c>
      <c r="H4" s="72" t="inlineStr">
        <is>
          <t>Biais, ton et informations jugées incomplètes ou non véridiques.</t>
        </is>
      </c>
      <c r="I4" s="73" t="n">
        <v>3</v>
      </c>
      <c r="J4" s="73" t="n">
        <v>8</v>
      </c>
      <c r="K4" s="74">
        <f>IFERROR(I4/J4,0)</f>
        <v/>
      </c>
      <c r="L4" s="73" t="n">
        <v>30</v>
      </c>
      <c r="M4" s="73" t="n">
        <v>2674</v>
      </c>
      <c r="N4" s="73" t="n">
        <v>0</v>
      </c>
      <c r="O4" s="72" t="inlineStr">
        <is>
          <t>Image_Carrousel</t>
        </is>
      </c>
    </row>
    <row r="5" ht="13.5" customHeight="1" s="109">
      <c r="A5" s="35" t="inlineStr">
        <is>
          <t>https://www.instagram.com/p/DWTtWQ-DUCB/</t>
        </is>
      </c>
      <c r="B5" s="35" t="inlineStr">
        <is>
          <t>Culture &amp; Loisirs</t>
        </is>
      </c>
      <c r="C5" s="35" t="inlineStr">
        <is>
          <t>Arts</t>
        </is>
      </c>
      <c r="D5" s="36" t="n">
        <v>45</v>
      </c>
      <c r="E5" s="36" t="inlineStr">
        <is>
          <t>N</t>
        </is>
      </c>
      <c r="F5" s="35" t="inlineStr">
        <is>
          <t>Média de service public suisse, couvre l'actualité de manière factuelle et neutre.</t>
        </is>
      </c>
      <c r="G5" s="36" t="inlineStr">
        <is>
          <t>Non</t>
        </is>
      </c>
      <c r="H5" s="35" t="n"/>
      <c r="I5" s="36" t="n">
        <v>0</v>
      </c>
      <c r="J5" s="36" t="n">
        <v>4</v>
      </c>
      <c r="K5" s="74">
        <f>IFERROR(I5/J5,0)</f>
        <v/>
      </c>
      <c r="L5" s="36" t="n">
        <v>85</v>
      </c>
      <c r="M5" s="36" t="n">
        <v>7511</v>
      </c>
      <c r="N5" s="36" t="n">
        <v>0</v>
      </c>
      <c r="O5" s="35" t="inlineStr">
        <is>
          <t>Image_Carrousel</t>
        </is>
      </c>
    </row>
    <row r="6" ht="13.5" customHeight="1" s="109">
      <c r="A6" s="72" t="inlineStr">
        <is>
          <t>https://www.instagram.com/p/DWTvLAFkji6/</t>
        </is>
      </c>
      <c r="B6" s="72" t="inlineStr">
        <is>
          <t>Environnement &amp; Nature</t>
        </is>
      </c>
      <c r="C6" s="72" t="inlineStr">
        <is>
          <t>Climat / Ecologie</t>
        </is>
      </c>
      <c r="D6" s="73" t="n">
        <v>50</v>
      </c>
      <c r="E6" s="73" t="inlineStr">
        <is>
          <t>N</t>
        </is>
      </c>
      <c r="F6" s="72" t="inlineStr">
        <is>
          <t>RTSinfo/ATS rapporte des faits scientifiques sur le climat, citant des organisations mondiales.</t>
        </is>
      </c>
      <c r="G6" s="73" t="inlineStr">
        <is>
          <t>Oui</t>
        </is>
      </c>
      <c r="H6" s="72" t="inlineStr">
        <is>
          <t>Biais, manque de rigueur scientifique, répétition, informations fausses.</t>
        </is>
      </c>
      <c r="I6" s="73" t="n">
        <v>3</v>
      </c>
      <c r="J6" s="73" t="n">
        <v>7</v>
      </c>
      <c r="K6" s="74">
        <f>IFERROR(I6/J6,0)</f>
        <v/>
      </c>
      <c r="L6" s="73" t="n">
        <v>29</v>
      </c>
      <c r="M6" s="73" t="n">
        <v>745</v>
      </c>
      <c r="N6" s="73" t="n">
        <v>0</v>
      </c>
      <c r="O6" s="72" t="inlineStr">
        <is>
          <t>Image_Carrousel</t>
        </is>
      </c>
    </row>
    <row r="7" ht="13.5" customHeight="1" s="109">
      <c r="A7" s="35" t="inlineStr">
        <is>
          <t>https://www.instagram.com/p/DWQyBngDUp-/</t>
        </is>
      </c>
      <c r="B7" s="35" t="inlineStr">
        <is>
          <t>Societe &amp; Droits</t>
        </is>
      </c>
      <c r="C7" s="35" t="inlineStr">
        <is>
          <t>Faits de societe</t>
        </is>
      </c>
      <c r="D7" s="36" t="n">
        <v>40</v>
      </c>
      <c r="E7" s="36" t="inlineStr">
        <is>
          <t>N</t>
        </is>
      </c>
      <c r="F7" s="35" t="inlineStr">
        <is>
          <t>Média de service public suisse, réputé neutre, légèrement progressiste sur questions sociétales.</t>
        </is>
      </c>
      <c r="G7" s="36" t="inlineStr">
        <is>
          <t>Non</t>
        </is>
      </c>
      <c r="H7" s="35" t="inlineStr">
        <is>
          <t>Aucune critique explicite du média dans les commentaires fournis.</t>
        </is>
      </c>
      <c r="I7" s="36" t="n">
        <v>0</v>
      </c>
      <c r="J7" s="36" t="n">
        <v>5</v>
      </c>
      <c r="K7" s="74">
        <f>IFERROR(I7/J7,0)</f>
        <v/>
      </c>
      <c r="L7" s="36" t="n">
        <v>14</v>
      </c>
      <c r="M7" s="36" t="n">
        <v>5447</v>
      </c>
      <c r="N7" s="36" t="n">
        <v>0</v>
      </c>
      <c r="O7" s="35" t="inlineStr">
        <is>
          <t>Image_Carrousel</t>
        </is>
      </c>
    </row>
    <row r="8" ht="13.5" customHeight="1" s="109">
      <c r="A8" s="72" t="inlineStr">
        <is>
          <t>https://www.instagram.com/p/DWRzSNfjod1/</t>
        </is>
      </c>
      <c r="B8" s="72" t="inlineStr">
        <is>
          <t>Politique &amp; Institutions</t>
        </is>
      </c>
      <c r="C8" s="72" t="inlineStr">
        <is>
          <t>Votations</t>
        </is>
      </c>
      <c r="D8" s="73" t="n">
        <v>50</v>
      </c>
      <c r="E8" s="73" t="inlineStr">
        <is>
          <t>N</t>
        </is>
      </c>
      <c r="F8" s="72" t="inlineStr">
        <is>
          <t>L'article présente les positions des deux camps de manière neutre et factuelle.</t>
        </is>
      </c>
      <c r="G8" s="73" t="inlineStr">
        <is>
          <t>Non</t>
        </is>
      </c>
      <c r="H8" s="72" t="n"/>
      <c r="I8" s="73" t="n">
        <v>0</v>
      </c>
      <c r="J8" s="73" t="n">
        <v>5</v>
      </c>
      <c r="K8" s="74">
        <f>IFERROR(I8/J8,0)</f>
        <v/>
      </c>
      <c r="L8" s="73" t="n">
        <v>499</v>
      </c>
      <c r="M8" s="73" t="n">
        <v>4527</v>
      </c>
      <c r="N8" s="73" t="n">
        <v>0</v>
      </c>
      <c r="O8" s="72" t="inlineStr">
        <is>
          <t>Image_Carrousel</t>
        </is>
      </c>
    </row>
    <row r="9" ht="13.5" customHeight="1" s="109">
      <c r="A9" s="35" t="inlineStr">
        <is>
          <t>https://www.instagram.com/p/DWS3_gnl0hp/</t>
        </is>
      </c>
      <c r="B9" s="35" t="inlineStr">
        <is>
          <t>Societe &amp; Droits</t>
        </is>
      </c>
      <c r="C9" s="35" t="inlineStr">
        <is>
          <t>Education</t>
        </is>
      </c>
      <c r="D9" s="36" t="n">
        <v>50</v>
      </c>
      <c r="E9" s="36" t="inlineStr">
        <is>
          <t>N</t>
        </is>
      </c>
      <c r="F9" s="35" t="inlineStr">
        <is>
          <t>Média de service public, reportage informatif sans opinion marquée sur la décision.</t>
        </is>
      </c>
      <c r="G9" s="36" t="inlineStr">
        <is>
          <t>Non</t>
        </is>
      </c>
      <c r="H9" s="35" t="n"/>
      <c r="I9" s="36" t="n">
        <v>0</v>
      </c>
      <c r="J9" s="36" t="n">
        <v>7</v>
      </c>
      <c r="K9" s="74">
        <f>IFERROR(I9/J9,0)</f>
        <v/>
      </c>
      <c r="L9" s="36" t="n">
        <v>138</v>
      </c>
      <c r="M9" s="36" t="n">
        <v>11704</v>
      </c>
      <c r="N9" s="36" t="n">
        <v>97946</v>
      </c>
      <c r="O9" s="35" t="inlineStr">
        <is>
          <t>Video</t>
        </is>
      </c>
    </row>
    <row r="10" ht="13.5" customHeight="1" s="109">
      <c r="A10" s="72" t="inlineStr">
        <is>
          <t>https://www.instagram.com/p/DWS4IXqAOAg/</t>
        </is>
      </c>
      <c r="B10" s="72" t="inlineStr">
        <is>
          <t>Culture &amp; Loisirs</t>
        </is>
      </c>
      <c r="C10" s="72" t="inlineStr">
        <is>
          <t>Sport</t>
        </is>
      </c>
      <c r="D10" s="73" t="n">
        <v>45</v>
      </c>
      <c r="E10" s="73" t="inlineStr">
        <is>
          <t>N</t>
        </is>
      </c>
      <c r="F10" s="72" t="inlineStr">
        <is>
          <t>RTS, service public, adopte un ton neutre et informatif sur un événement établi.</t>
        </is>
      </c>
      <c r="G10" s="73" t="inlineStr">
        <is>
          <t>Non</t>
        </is>
      </c>
      <c r="H10" s="72" t="n"/>
      <c r="I10" s="73" t="n">
        <v>0</v>
      </c>
      <c r="J10" s="73" t="n">
        <v>6</v>
      </c>
      <c r="K10" s="74">
        <f>IFERROR(I10/J10,0)</f>
        <v/>
      </c>
      <c r="L10" s="73" t="n">
        <v>8</v>
      </c>
      <c r="M10" s="73" t="n">
        <v>4020</v>
      </c>
      <c r="N10" s="73" t="n">
        <v>49325</v>
      </c>
      <c r="O10" s="72" t="inlineStr">
        <is>
          <t>Video</t>
        </is>
      </c>
    </row>
    <row r="11" ht="13.5" customHeight="1" s="109">
      <c r="A11" s="35" t="inlineStr">
        <is>
          <t>https://www.instagram.com/p/DWNx0qliLAM/</t>
        </is>
      </c>
      <c r="B11" s="35" t="inlineStr">
        <is>
          <t>Culture &amp; Loisirs</t>
        </is>
      </c>
      <c r="C11" s="35" t="inlineStr">
        <is>
          <t>Sport</t>
        </is>
      </c>
      <c r="D11" s="36" t="n">
        <v>50</v>
      </c>
      <c r="E11" s="36" t="inlineStr">
        <is>
          <t>N</t>
        </is>
      </c>
      <c r="F11" s="35" t="inlineStr">
        <is>
          <t>Reportage sportif factuel de RTS, média public suisse, vise la neutralité.</t>
        </is>
      </c>
      <c r="G11" s="36" t="inlineStr">
        <is>
          <t>Non</t>
        </is>
      </c>
      <c r="H11" s="35" t="n"/>
      <c r="I11" s="36" t="n">
        <v>0</v>
      </c>
      <c r="J11" s="36" t="n">
        <v>10</v>
      </c>
      <c r="K11" s="74">
        <f>IFERROR(I11/J11,0)</f>
        <v/>
      </c>
      <c r="L11" s="36" t="n">
        <v>22</v>
      </c>
      <c r="M11" s="36" t="n">
        <v>5158</v>
      </c>
      <c r="N11" s="36" t="n">
        <v>0</v>
      </c>
      <c r="O11" s="35" t="inlineStr">
        <is>
          <t>Image_Carrousel</t>
        </is>
      </c>
    </row>
    <row r="12" ht="13.5" customHeight="1" s="109">
      <c r="A12" s="72" t="inlineStr">
        <is>
          <t>https://www.instagram.com/p/DWQg1JaAUgo/</t>
        </is>
      </c>
      <c r="B12" s="72" t="inlineStr">
        <is>
          <t>Societe &amp; Droits</t>
        </is>
      </c>
      <c r="C12" s="72" t="inlineStr">
        <is>
          <t>Faits de societe</t>
        </is>
      </c>
      <c r="D12" s="73" t="n">
        <v>45</v>
      </c>
      <c r="E12" s="73" t="inlineStr">
        <is>
          <t>N</t>
        </is>
      </c>
      <c r="F12" s="72" t="inlineStr">
        <is>
          <t>RTSinfo, média public suisse, utilise écriture inclusive dans sa rédaction.</t>
        </is>
      </c>
      <c r="G12" s="73" t="inlineStr">
        <is>
          <t>Oui</t>
        </is>
      </c>
      <c r="H12" s="72" t="inlineStr">
        <is>
          <t>Remise en question du cadre colonial implicite de la progression du français.</t>
        </is>
      </c>
      <c r="I12" s="73" t="n">
        <v>2</v>
      </c>
      <c r="J12" s="73" t="n">
        <v>6</v>
      </c>
      <c r="K12" s="74">
        <f>IFERROR(I12/J12,0)</f>
        <v/>
      </c>
      <c r="L12" s="73" t="n">
        <v>75</v>
      </c>
      <c r="M12" s="73" t="n">
        <v>6353</v>
      </c>
      <c r="N12" s="73" t="n">
        <v>0</v>
      </c>
      <c r="O12" s="72" t="inlineStr">
        <is>
          <t>Image_Carrousel</t>
        </is>
      </c>
    </row>
    <row r="13" ht="13.5" customHeight="1" s="109">
      <c r="A13" s="35" t="inlineStr">
        <is>
          <t>https://www.instagram.com/p/DWRKFKzjpA0/</t>
        </is>
      </c>
      <c r="B13" s="35" t="inlineStr">
        <is>
          <t>Securite &amp; Justice</t>
        </is>
      </c>
      <c r="C13" s="35" t="inlineStr">
        <is>
          <t>Activites de Police</t>
        </is>
      </c>
      <c r="D13" s="36" t="n">
        <v>45</v>
      </c>
      <c r="E13" s="36" t="inlineStr">
        <is>
          <t>N</t>
        </is>
      </c>
      <c r="F13" s="35" t="inlineStr">
        <is>
          <t>Média public traitant d'un fait de société, mettant en avant la réponse des autorités.</t>
        </is>
      </c>
      <c r="G13" s="36" t="inlineStr">
        <is>
          <t>Oui</t>
        </is>
      </c>
      <c r="H13" s="35" t="inlineStr">
        <is>
          <t>Contenu de l'interview ou l'efficacité policière jugé inexact par un commentaire.</t>
        </is>
      </c>
      <c r="I13" s="36" t="n">
        <v>1</v>
      </c>
      <c r="J13" s="36" t="n">
        <v>4</v>
      </c>
      <c r="K13" s="74">
        <f>IFERROR(I13/J13,0)</f>
        <v/>
      </c>
      <c r="L13" s="36" t="n">
        <v>57</v>
      </c>
      <c r="M13" s="36" t="n">
        <v>1193</v>
      </c>
      <c r="N13" s="36" t="n">
        <v>31056</v>
      </c>
      <c r="O13" s="35" t="inlineStr">
        <is>
          <t>Video</t>
        </is>
      </c>
    </row>
    <row r="14" ht="13.5" customHeight="1" s="109">
      <c r="A14" s="72" t="inlineStr">
        <is>
          <t>https://www.instagram.com/p/DWThWUjjJwD/</t>
        </is>
      </c>
      <c r="B14" s="72" t="inlineStr">
        <is>
          <t>Securite &amp; Justice</t>
        </is>
      </c>
      <c r="C14" s="72" t="inlineStr">
        <is>
          <t>Justice</t>
        </is>
      </c>
      <c r="D14" s="73" t="n">
        <v>50</v>
      </c>
      <c r="E14" s="73" t="inlineStr">
        <is>
          <t>N</t>
        </is>
      </c>
      <c r="F14" s="72" t="inlineStr">
        <is>
          <t>RTS, média public, rapporte des faits judiciaires de manière neutre et informative.</t>
        </is>
      </c>
      <c r="G14" s="73" t="inlineStr">
        <is>
          <t>Oui</t>
        </is>
      </c>
      <c r="H14" s="72" t="inlineStr">
        <is>
          <t>Critique de l'importance donnée au criminel par le média.</t>
        </is>
      </c>
      <c r="I14" s="73" t="n">
        <v>1</v>
      </c>
      <c r="J14" s="73" t="n">
        <v>6</v>
      </c>
      <c r="K14" s="74">
        <f>IFERROR(I14/J14,0)</f>
        <v/>
      </c>
      <c r="L14" s="73" t="n">
        <v>106</v>
      </c>
      <c r="M14" s="73" t="n">
        <v>2657</v>
      </c>
      <c r="N14" s="73" t="n">
        <v>0</v>
      </c>
      <c r="O14" s="72" t="inlineStr">
        <is>
          <t>Image_Carrousel</t>
        </is>
      </c>
    </row>
    <row r="15" ht="13.5" customHeight="1" s="109">
      <c r="A15" s="35" t="inlineStr">
        <is>
          <t>https://www.instagram.com/p/DWTW2ueiCqf/</t>
        </is>
      </c>
      <c r="B15" s="35" t="inlineStr">
        <is>
          <t>International</t>
        </is>
      </c>
      <c r="C15" s="35" t="inlineStr">
        <is>
          <t>Conflits</t>
        </is>
      </c>
      <c r="D15" s="36" t="n">
        <v>35</v>
      </c>
      <c r="E15" s="36" t="inlineStr">
        <is>
          <t>G</t>
        </is>
      </c>
      <c r="F15" s="35" t="inlineStr">
        <is>
          <t>Texte détaille rapport ONU sur violations droits humains par Israël, peu de contrepoids narratif.</t>
        </is>
      </c>
      <c r="G15" s="36" t="inlineStr">
        <is>
          <t>Non</t>
        </is>
      </c>
      <c r="H15" s="35" t="n"/>
      <c r="I15" s="36" t="n">
        <v>0</v>
      </c>
      <c r="J15" s="36" t="n">
        <v>9</v>
      </c>
      <c r="K15" s="74">
        <f>IFERROR(I15/J15,0)</f>
        <v/>
      </c>
      <c r="L15" s="36" t="n">
        <v>199</v>
      </c>
      <c r="M15" s="36" t="n">
        <v>2750</v>
      </c>
      <c r="N15" s="36" t="n">
        <v>22376</v>
      </c>
      <c r="O15" s="35" t="inlineStr">
        <is>
          <t>Video</t>
        </is>
      </c>
    </row>
    <row r="16" ht="13.5" customHeight="1" s="109">
      <c r="A16" s="72" t="inlineStr">
        <is>
          <t>https://www.instagram.com/p/DWRDQXLiOAG/</t>
        </is>
      </c>
      <c r="B16" s="72" t="inlineStr">
        <is>
          <t>Politique &amp; Institutions</t>
        </is>
      </c>
      <c r="C16" s="72" t="inlineStr">
        <is>
          <t>Vie politique CH</t>
        </is>
      </c>
      <c r="D16" s="73" t="n">
        <v>45</v>
      </c>
      <c r="E16" s="73" t="inlineStr">
        <is>
          <t>N</t>
        </is>
      </c>
      <c r="F16" s="72" t="inlineStr">
        <is>
          <t>Média public, factuel et généralement neutre dans son traitement de l'information.</t>
        </is>
      </c>
      <c r="G16" s="73" t="inlineStr">
        <is>
          <t>Non</t>
        </is>
      </c>
      <c r="H16" s="72" t="inlineStr">
        <is>
          <t>Aucune critique explicite du média.</t>
        </is>
      </c>
      <c r="I16" s="73" t="n">
        <v>0</v>
      </c>
      <c r="J16" s="73" t="n">
        <v>6</v>
      </c>
      <c r="K16" s="74">
        <f>IFERROR(I16/J16,0)</f>
        <v/>
      </c>
      <c r="L16" s="73" t="n">
        <v>44</v>
      </c>
      <c r="M16" s="73" t="n">
        <v>2878</v>
      </c>
      <c r="N16" s="73" t="n">
        <v>0</v>
      </c>
      <c r="O16" s="72" t="inlineStr">
        <is>
          <t>Image_Carrousel</t>
        </is>
      </c>
    </row>
    <row r="17" ht="13.5" customHeight="1" s="109">
      <c r="A17" s="35" t="inlineStr">
        <is>
          <t>https://www.instagram.com/p/DWQ8oSuDCdd/</t>
        </is>
      </c>
      <c r="B17" s="35" t="inlineStr">
        <is>
          <t>Sante</t>
        </is>
      </c>
      <c r="C17" s="35" t="inlineStr">
        <is>
          <t>Sante publique</t>
        </is>
      </c>
      <c r="D17" s="36" t="n">
        <v>40</v>
      </c>
      <c r="E17" s="36" t="inlineStr">
        <is>
          <t>N</t>
        </is>
      </c>
      <c r="F17" s="35" t="inlineStr">
        <is>
          <t>Expose risques sanitaires et manque de régulation; journalisme d'intérêt public.</t>
        </is>
      </c>
      <c r="G17" s="36" t="inlineStr">
        <is>
          <t>Oui</t>
        </is>
      </c>
      <c r="H17" s="35" t="inlineStr">
        <is>
          <t>Accusé d'installer une peur constante et d'analyse excessive.</t>
        </is>
      </c>
      <c r="I17" s="36" t="n">
        <v>1</v>
      </c>
      <c r="J17" s="36" t="n">
        <v>7</v>
      </c>
      <c r="K17" s="74">
        <f>IFERROR(I17/J17,0)</f>
        <v/>
      </c>
      <c r="L17" s="36" t="n">
        <v>21</v>
      </c>
      <c r="M17" s="36" t="n">
        <v>1070</v>
      </c>
      <c r="N17" s="36" t="n">
        <v>34302</v>
      </c>
      <c r="O17" s="35" t="inlineStr">
        <is>
          <t>Video</t>
        </is>
      </c>
    </row>
    <row r="18" ht="13.5" customHeight="1" s="109">
      <c r="A18" s="72" t="inlineStr">
        <is>
          <t>https://www.instagram.com/p/DWPOfM2DVKa/</t>
        </is>
      </c>
      <c r="B18" s="72" t="inlineStr">
        <is>
          <t>Environnement &amp; Nature</t>
        </is>
      </c>
      <c r="C18" s="72" t="inlineStr">
        <is>
          <t>Climat / Ecologie</t>
        </is>
      </c>
      <c r="D18" s="73" t="n">
        <v>40</v>
      </c>
      <c r="E18" s="73" t="inlineStr">
        <is>
          <t>G</t>
        </is>
      </c>
      <c r="F18" s="72" t="inlineStr">
        <is>
          <t>Reportage factuel sur une découverte scientifique, typique du service public.</t>
        </is>
      </c>
      <c r="G18" s="73" t="inlineStr">
        <is>
          <t>Oui</t>
        </is>
      </c>
      <c r="H18" s="72" t="inlineStr">
        <is>
          <t>Un commentaire conteste la pertinence du sujet.</t>
        </is>
      </c>
      <c r="I18" s="73" t="n">
        <v>1</v>
      </c>
      <c r="J18" s="73" t="n">
        <v>9</v>
      </c>
      <c r="K18" s="74">
        <f>IFERROR(I18/J18,0)</f>
        <v/>
      </c>
      <c r="L18" s="73" t="n">
        <v>22</v>
      </c>
      <c r="M18" s="73" t="n">
        <v>6809</v>
      </c>
      <c r="N18" s="73" t="n">
        <v>0</v>
      </c>
      <c r="O18" s="72" t="inlineStr">
        <is>
          <t>Image_Carrousel</t>
        </is>
      </c>
    </row>
    <row r="19" ht="13.5" customHeight="1" s="109">
      <c r="A19" s="35" t="inlineStr">
        <is>
          <t>https://www.instagram.com/p/DWQaHG9EcA2/</t>
        </is>
      </c>
      <c r="B19" s="35" t="inlineStr">
        <is>
          <t>Societe &amp; Droits</t>
        </is>
      </c>
      <c r="C19" s="35" t="inlineStr">
        <is>
          <t>Faits de societe</t>
        </is>
      </c>
      <c r="D19" s="36" t="n">
        <v>45</v>
      </c>
      <c r="E19" s="36" t="inlineStr">
        <is>
          <t>N</t>
        </is>
      </c>
      <c r="F19" s="35" t="inlineStr">
        <is>
          <t>Média public qui rapporte des faits, évitant une prise de position explicite.</t>
        </is>
      </c>
      <c r="G19" s="36" t="inlineStr">
        <is>
          <t>Oui</t>
        </is>
      </c>
      <c r="H19" s="35" t="inlineStr">
        <is>
          <t>Manque de clarté dans la présentation des données (tableau manquant).</t>
        </is>
      </c>
      <c r="I19" s="36" t="n">
        <v>1</v>
      </c>
      <c r="J19" s="36" t="n">
        <v>7</v>
      </c>
      <c r="K19" s="74">
        <f>IFERROR(I19/J19,0)</f>
        <v/>
      </c>
      <c r="L19" s="36" t="n">
        <v>30</v>
      </c>
      <c r="M19" s="36" t="n">
        <v>4760</v>
      </c>
      <c r="N19" s="36" t="n">
        <v>90770</v>
      </c>
      <c r="O19" s="35" t="inlineStr">
        <is>
          <t>Video</t>
        </is>
      </c>
    </row>
    <row r="20" ht="13.5" customHeight="1" s="109">
      <c r="A20" s="72" t="inlineStr">
        <is>
          <t>https://www.instagram.com/p/DWPJc8Hlpd9/</t>
        </is>
      </c>
      <c r="B20" s="72" t="inlineStr">
        <is>
          <t>International</t>
        </is>
      </c>
      <c r="C20" s="72" t="inlineStr">
        <is>
          <t>Conflits</t>
        </is>
      </c>
      <c r="D20" s="73" t="n">
        <v>45</v>
      </c>
      <c r="E20" s="73" t="inlineStr">
        <is>
          <t>N</t>
        </is>
      </c>
      <c r="F20" s="72" t="inlineStr">
        <is>
          <t>RTSinfo, service public, rapport factuel sur sécurité et tensions géopolitiques.</t>
        </is>
      </c>
      <c r="G20" s="73" t="inlineStr">
        <is>
          <t>Oui</t>
        </is>
      </c>
      <c r="H20" s="72" t="inlineStr">
        <is>
          <t>Remise en question de la véracité ou de la durée de l'information.</t>
        </is>
      </c>
      <c r="I20" s="73" t="n">
        <v>1</v>
      </c>
      <c r="J20" s="73" t="n">
        <v>8</v>
      </c>
      <c r="K20" s="74">
        <f>IFERROR(I20/J20,0)</f>
        <v/>
      </c>
      <c r="L20" s="73" t="n">
        <v>39</v>
      </c>
      <c r="M20" s="73" t="n">
        <v>5720</v>
      </c>
      <c r="N20" s="73" t="n">
        <v>0</v>
      </c>
      <c r="O20" s="72" t="inlineStr">
        <is>
          <t>Image_Carrousel</t>
        </is>
      </c>
    </row>
    <row r="21" ht="13.5" customHeight="1" s="109">
      <c r="A21" s="35" t="inlineStr">
        <is>
          <t>https://www.instagram.com/p/DWRsdMDDcde/</t>
        </is>
      </c>
      <c r="B21" s="35" t="inlineStr">
        <is>
          <t>Politique &amp; Institutions</t>
        </is>
      </c>
      <c r="C21" s="35" t="inlineStr">
        <is>
          <t>Votations</t>
        </is>
      </c>
      <c r="D21" s="36" t="n">
        <v>50</v>
      </c>
      <c r="E21" s="36" t="inlineStr">
        <is>
          <t>N</t>
        </is>
      </c>
      <c r="F21" s="35" t="inlineStr">
        <is>
          <t>RTS, média public suisse, rapporte les faits d'un référendum sans parti pris apparent.</t>
        </is>
      </c>
      <c r="G21" s="36" t="inlineStr">
        <is>
          <t>Non</t>
        </is>
      </c>
      <c r="H21" s="35" t="n"/>
      <c r="I21" s="36" t="n">
        <v>0</v>
      </c>
      <c r="J21" s="36" t="n">
        <v>7</v>
      </c>
      <c r="K21" s="74">
        <f>IFERROR(I21/J21,0)</f>
        <v/>
      </c>
      <c r="L21" s="36" t="n">
        <v>85</v>
      </c>
      <c r="M21" s="36" t="n">
        <v>2415</v>
      </c>
      <c r="N21" s="36" t="n">
        <v>0</v>
      </c>
      <c r="O21" s="35" t="inlineStr">
        <is>
          <t>Image_Carrousel</t>
        </is>
      </c>
    </row>
    <row r="22" ht="13.5" customHeight="1" s="109">
      <c r="A22" s="72" t="inlineStr">
        <is>
          <t>https://www.instagram.com/p/DWTdM5DAoPT/</t>
        </is>
      </c>
      <c r="B22" s="72" t="inlineStr">
        <is>
          <t>Culture &amp; Loisirs</t>
        </is>
      </c>
      <c r="C22" s="72" t="inlineStr">
        <is>
          <t>Sport</t>
        </is>
      </c>
      <c r="D22" s="73" t="n">
        <v>45</v>
      </c>
      <c r="E22" s="73" t="inlineStr">
        <is>
          <t>N</t>
        </is>
      </c>
      <c r="F22" s="72" t="inlineStr">
        <is>
          <t>RTS rapporte une plainte contre la FIFA pour prix abusifs et pratiques opaques, défendant les droits des consommateurs.</t>
        </is>
      </c>
      <c r="G22" s="73" t="inlineStr">
        <is>
          <t>Non</t>
        </is>
      </c>
      <c r="H22" s="72" t="inlineStr">
        <is>
          <t>Aucun commentaire ne critique le media directement.</t>
        </is>
      </c>
      <c r="I22" s="73" t="n">
        <v>0</v>
      </c>
      <c r="J22" s="73" t="n">
        <v>9</v>
      </c>
      <c r="K22" s="74">
        <f>IFERROR(I22/J22,0)</f>
        <v/>
      </c>
      <c r="L22" s="73" t="n">
        <v>68</v>
      </c>
      <c r="M22" s="73" t="n">
        <v>2323</v>
      </c>
      <c r="N22" s="73" t="n">
        <v>0</v>
      </c>
      <c r="O22" s="72" t="inlineStr">
        <is>
          <t>Image_Carrousel</t>
        </is>
      </c>
    </row>
    <row r="23" ht="13.5" customHeight="1" s="109">
      <c r="A23" s="35" t="inlineStr">
        <is>
          <t>https://www.instagram.com/p/DWOecP8jWno/</t>
        </is>
      </c>
      <c r="B23" s="35" t="inlineStr">
        <is>
          <t>Culture &amp; Loisirs</t>
        </is>
      </c>
      <c r="C23" s="35" t="inlineStr">
        <is>
          <t>Arts</t>
        </is>
      </c>
      <c r="D23" s="36" t="n">
        <v>50</v>
      </c>
      <c r="E23" s="36" t="inlineStr">
        <is>
          <t>N</t>
        </is>
      </c>
      <c r="F23" s="35" t="inlineStr">
        <is>
          <t>Reportage factuel sur événement culturel, ton positif et neutre.</t>
        </is>
      </c>
      <c r="G23" s="36" t="inlineStr">
        <is>
          <t>Non</t>
        </is>
      </c>
      <c r="H23" s="35" t="n"/>
      <c r="I23" s="36" t="n">
        <v>0</v>
      </c>
      <c r="J23" s="36" t="n">
        <v>8</v>
      </c>
      <c r="K23" s="74">
        <f>IFERROR(I23/J23,0)</f>
        <v/>
      </c>
      <c r="L23" s="36" t="n">
        <v>8</v>
      </c>
      <c r="M23" s="36" t="n">
        <v>2520</v>
      </c>
      <c r="N23" s="36" t="n">
        <v>0</v>
      </c>
      <c r="O23" s="35" t="inlineStr">
        <is>
          <t>Image_Carrousel</t>
        </is>
      </c>
    </row>
    <row r="24" ht="13.5" customHeight="1" s="109">
      <c r="A24" s="72" t="inlineStr">
        <is>
          <t>https://www.instagram.com/p/DWOFuakljIP/</t>
        </is>
      </c>
      <c r="B24" s="72" t="inlineStr">
        <is>
          <t>Politique &amp; Institutions</t>
        </is>
      </c>
      <c r="C24" s="72" t="inlineStr">
        <is>
          <t>Autorites</t>
        </is>
      </c>
      <c r="D24" s="73" t="n">
        <v>50</v>
      </c>
      <c r="E24" s="73" t="inlineStr">
        <is>
          <t>N</t>
        </is>
      </c>
      <c r="F24" s="72" t="inlineStr">
        <is>
          <t>Média de service public, vise la neutralité informationnelle.</t>
        </is>
      </c>
      <c r="G24" s="73" t="inlineStr">
        <is>
          <t>Non</t>
        </is>
      </c>
      <c r="H24" s="72" t="inlineStr">
        <is>
          <t>Aucune critique du media.</t>
        </is>
      </c>
      <c r="I24" s="73" t="n">
        <v>0</v>
      </c>
      <c r="J24" s="73" t="n">
        <v>7</v>
      </c>
      <c r="K24" s="74">
        <f>IFERROR(I24/J24,0)</f>
        <v/>
      </c>
      <c r="L24" s="73" t="n">
        <v>35</v>
      </c>
      <c r="M24" s="73" t="n">
        <v>2162</v>
      </c>
      <c r="N24" s="73" t="n">
        <v>0</v>
      </c>
      <c r="O24" s="72" t="inlineStr">
        <is>
          <t>Image_Carrousel</t>
        </is>
      </c>
    </row>
    <row r="25" ht="13.5" customHeight="1" s="109">
      <c r="A25" s="35" t="inlineStr">
        <is>
          <t>https://www.instagram.com/p/DWN8FCbDQJc/</t>
        </is>
      </c>
      <c r="B25" s="35" t="inlineStr">
        <is>
          <t>Societe &amp; Droits</t>
        </is>
      </c>
      <c r="C25" s="35" t="inlineStr">
        <is>
          <t>Faits de societe</t>
        </is>
      </c>
      <c r="D25" s="36" t="n">
        <v>45</v>
      </c>
      <c r="E25" s="36" t="inlineStr">
        <is>
          <t>N</t>
        </is>
      </c>
      <c r="F25" s="35" t="inlineStr">
        <is>
          <t>Média public informe sur initiative commerciale sans angle politique prononcé.</t>
        </is>
      </c>
      <c r="G25" s="36" t="inlineStr">
        <is>
          <t>Non</t>
        </is>
      </c>
      <c r="H25" s="35" t="n"/>
      <c r="I25" s="36" t="n">
        <v>0</v>
      </c>
      <c r="J25" s="36" t="n">
        <v>8</v>
      </c>
      <c r="K25" s="74">
        <f>IFERROR(I25/J25,0)</f>
        <v/>
      </c>
      <c r="L25" s="36" t="n">
        <v>51</v>
      </c>
      <c r="M25" s="36" t="n">
        <v>14973</v>
      </c>
      <c r="N25" s="36" t="n">
        <v>0</v>
      </c>
      <c r="O25" s="35" t="inlineStr">
        <is>
          <t>Image_Carrousel</t>
        </is>
      </c>
    </row>
    <row r="26" ht="13.5" customHeight="1" s="109">
      <c r="A26" s="72" t="inlineStr">
        <is>
          <t>https://www.instagram.com/p/DWPCHOClnaZ/</t>
        </is>
      </c>
      <c r="B26" s="72" t="inlineStr">
        <is>
          <t>International</t>
        </is>
      </c>
      <c r="C26" s="72" t="inlineStr">
        <is>
          <t>Geopolitique</t>
        </is>
      </c>
      <c r="D26" s="73" t="n">
        <v>45</v>
      </c>
      <c r="E26" s="73" t="inlineStr">
        <is>
          <t>N</t>
        </is>
      </c>
      <c r="F26" s="72" t="inlineStr">
        <is>
          <t>Média public suisse, vise l'objectivité, léger penchant centre-gauche habituel.</t>
        </is>
      </c>
      <c r="G26" s="73" t="inlineStr">
        <is>
          <t>Oui</t>
        </is>
      </c>
      <c r="H26" s="72" t="inlineStr">
        <is>
          <t>Manque de clarté dans la présentation des chiffres et bilans.</t>
        </is>
      </c>
      <c r="I26" s="73" t="n">
        <v>1</v>
      </c>
      <c r="J26" s="73" t="n">
        <v>8</v>
      </c>
      <c r="K26" s="74">
        <f>IFERROR(I26/J26,0)</f>
        <v/>
      </c>
      <c r="L26" s="73" t="n">
        <v>23</v>
      </c>
      <c r="M26" s="73" t="n">
        <v>2160</v>
      </c>
      <c r="N26" s="73" t="n">
        <v>0</v>
      </c>
      <c r="O26" s="72" t="inlineStr">
        <is>
          <t>Image_Carrousel</t>
        </is>
      </c>
    </row>
    <row r="27" ht="13.5" customHeight="1" s="109">
      <c r="A27" s="35" t="inlineStr">
        <is>
          <t>https://www.instagram.com/p/DWNuVrVjdmH/</t>
        </is>
      </c>
      <c r="B27" s="35" t="inlineStr">
        <is>
          <t>Environnement &amp; Nature</t>
        </is>
      </c>
      <c r="C27" s="35" t="inlineStr">
        <is>
          <t>Climat / Ecologie</t>
        </is>
      </c>
      <c r="D27" s="36" t="n">
        <v>45</v>
      </c>
      <c r="E27" s="36" t="inlineStr">
        <is>
          <t>N</t>
        </is>
      </c>
      <c r="F27" s="35" t="inlineStr">
        <is>
          <t>RTS, média public, rapporte un fait écologique sans biais politique marqué.</t>
        </is>
      </c>
      <c r="G27" s="36" t="inlineStr">
        <is>
          <t>Non</t>
        </is>
      </c>
      <c r="H27" s="35" t="n"/>
      <c r="I27" s="36" t="n">
        <v>0</v>
      </c>
      <c r="J27" s="36" t="n">
        <v>2</v>
      </c>
      <c r="K27" s="74">
        <f>IFERROR(I27/J27,0)</f>
        <v/>
      </c>
      <c r="L27" s="36" t="n">
        <v>2</v>
      </c>
      <c r="M27" s="36" t="n">
        <v>1466</v>
      </c>
      <c r="N27" s="36" t="n">
        <v>0</v>
      </c>
      <c r="O27" s="35" t="inlineStr">
        <is>
          <t>Image_Carrousel</t>
        </is>
      </c>
    </row>
    <row r="28" ht="13.5" customHeight="1" s="109">
      <c r="A28" s="72" t="inlineStr">
        <is>
          <t>https://www.instagram.com/p/DWMxQusDu7Z/</t>
        </is>
      </c>
      <c r="B28" s="72" t="inlineStr">
        <is>
          <t>Politique &amp; Institutions</t>
        </is>
      </c>
      <c r="C28" s="72" t="inlineStr">
        <is>
          <t>Vie politique CH</t>
        </is>
      </c>
      <c r="D28" s="73" t="n">
        <v>40</v>
      </c>
      <c r="E28" s="73" t="inlineStr">
        <is>
          <t>G</t>
        </is>
      </c>
      <c r="F28" s="72" t="inlineStr">
        <is>
          <t>Reportage factuel des résultats électoraux, avec accent initial sur les victoires de gauche.</t>
        </is>
      </c>
      <c r="G28" s="73" t="inlineStr">
        <is>
          <t>Oui</t>
        </is>
      </c>
      <c r="H28" s="72" t="inlineStr">
        <is>
          <t>Portée limitée aux grandes villes; simplifie étiquettes politiques.</t>
        </is>
      </c>
      <c r="I28" s="73" t="n">
        <v>2</v>
      </c>
      <c r="J28" s="73" t="n">
        <v>4</v>
      </c>
      <c r="K28" s="74">
        <f>IFERROR(I28/J28,0)</f>
        <v/>
      </c>
      <c r="L28" s="73" t="n">
        <v>172</v>
      </c>
      <c r="M28" s="73" t="n">
        <v>3539</v>
      </c>
      <c r="N28" s="73" t="n">
        <v>0</v>
      </c>
      <c r="O28" s="72" t="inlineStr">
        <is>
          <t>Image_Carrousel</t>
        </is>
      </c>
    </row>
    <row r="29" ht="13.5" customHeight="1" s="109">
      <c r="A29" s="35" t="inlineStr">
        <is>
          <t>https://www.instagram.com/p/DWONMx4mU4c/</t>
        </is>
      </c>
      <c r="B29" s="35" t="inlineStr">
        <is>
          <t>Securite &amp; Justice</t>
        </is>
      </c>
      <c r="C29" s="35" t="inlineStr">
        <is>
          <t>Ordre public</t>
        </is>
      </c>
      <c r="D29" s="36" t="n">
        <v>50</v>
      </c>
      <c r="E29" s="36" t="inlineStr">
        <is>
          <t>N</t>
        </is>
      </c>
      <c r="F29" s="35" t="inlineStr">
        <is>
          <t>RTSinfo/ATS rapporte les faits d'un incident aéroportuaire sans parti pris ni opinion.</t>
        </is>
      </c>
      <c r="G29" s="36" t="inlineStr">
        <is>
          <t>Non</t>
        </is>
      </c>
      <c r="H29" s="35" t="n"/>
      <c r="I29" s="36" t="n">
        <v>0</v>
      </c>
      <c r="J29" s="36" t="n">
        <v>3</v>
      </c>
      <c r="K29" s="74">
        <f>IFERROR(I29/J29,0)</f>
        <v/>
      </c>
      <c r="L29" s="36" t="n">
        <v>4</v>
      </c>
      <c r="M29" s="36" t="n">
        <v>3242</v>
      </c>
      <c r="N29" s="36" t="n">
        <v>0</v>
      </c>
      <c r="O29" s="35" t="inlineStr">
        <is>
          <t>Image_Carrousel</t>
        </is>
      </c>
    </row>
    <row r="30" ht="13.5" customHeight="1" s="109">
      <c r="A30" s="72" t="inlineStr">
        <is>
          <t>https://www.instagram.com/p/DWO53NkjLwp/</t>
        </is>
      </c>
      <c r="B30" s="72" t="inlineStr">
        <is>
          <t>Securite &amp; Justice</t>
        </is>
      </c>
      <c r="C30" s="72" t="inlineStr">
        <is>
          <t>Ordre public</t>
        </is>
      </c>
      <c r="D30" s="73" t="n">
        <v>40</v>
      </c>
      <c r="E30" s="73" t="inlineStr">
        <is>
          <t>N</t>
        </is>
      </c>
      <c r="F30" s="72" t="inlineStr">
        <is>
          <t>Média public rapporte faits OFS, focalise sur violences graves et féminicides. Tendance légèrement progressiste.</t>
        </is>
      </c>
      <c r="G30" s="73" t="inlineStr">
        <is>
          <t>Oui</t>
        </is>
      </c>
      <c r="H30" s="72" t="inlineStr">
        <is>
          <t>Manque de données genrées par le média, questionnement du framing.</t>
        </is>
      </c>
      <c r="I30" s="73" t="n">
        <v>1</v>
      </c>
      <c r="J30" s="73" t="n">
        <v>3</v>
      </c>
      <c r="K30" s="74">
        <f>IFERROR(I30/J30,0)</f>
        <v/>
      </c>
      <c r="L30" s="73" t="n">
        <v>140</v>
      </c>
      <c r="M30" s="73" t="n">
        <v>3531</v>
      </c>
      <c r="N30" s="73" t="n">
        <v>0</v>
      </c>
      <c r="O30" s="72" t="inlineStr">
        <is>
          <t>Image_Carrousel</t>
        </is>
      </c>
    </row>
    <row r="31" ht="13.5" customHeight="1" s="109">
      <c r="A31" s="35" t="inlineStr">
        <is>
          <t>https://www.instagram.com/p/DWPA06JDi4U/</t>
        </is>
      </c>
      <c r="B31" s="35" t="inlineStr">
        <is>
          <t>Politique &amp; Institutions</t>
        </is>
      </c>
      <c r="C31" s="35" t="inlineStr">
        <is>
          <t>Vie politique CH</t>
        </is>
      </c>
      <c r="D31" s="36" t="n">
        <v>50</v>
      </c>
      <c r="E31" s="36" t="inlineStr">
        <is>
          <t>N</t>
        </is>
      </c>
      <c r="F31" s="35" t="inlineStr">
        <is>
          <t>RTS Info rapporte objectivement un incident politique complexe sans biais apparent.</t>
        </is>
      </c>
      <c r="G31" s="36" t="inlineStr">
        <is>
          <t>Non</t>
        </is>
      </c>
      <c r="H31" s="35" t="inlineStr">
        <is>
          <t>Aucune critique du media.</t>
        </is>
      </c>
      <c r="I31" s="36" t="n">
        <v>0</v>
      </c>
      <c r="J31" s="36" t="n">
        <v>7</v>
      </c>
      <c r="K31" s="74">
        <f>IFERROR(I31/J31,0)</f>
        <v/>
      </c>
      <c r="L31" s="36" t="n">
        <v>191</v>
      </c>
      <c r="M31" s="36" t="n">
        <v>7694</v>
      </c>
      <c r="N31" s="36" t="n">
        <v>162928</v>
      </c>
      <c r="O31" s="35" t="inlineStr">
        <is>
          <t>Video</t>
        </is>
      </c>
    </row>
    <row r="32" ht="13.5" customHeight="1" s="109">
      <c r="A32" s="72" t="inlineStr">
        <is>
          <t>https://www.instagram.com/p/DWPHwtwCL5n/</t>
        </is>
      </c>
      <c r="B32" s="72" t="inlineStr">
        <is>
          <t>International</t>
        </is>
      </c>
      <c r="C32" s="72" t="inlineStr">
        <is>
          <t>Geopolitique</t>
        </is>
      </c>
      <c r="D32" s="73" t="n">
        <v>45</v>
      </c>
      <c r="E32" s="73" t="inlineStr">
        <is>
          <t>N</t>
        </is>
      </c>
      <c r="F32" s="72" t="inlineStr">
        <is>
          <t>Média public suisse, reportage factuel, se veut neutre et informatif.</t>
        </is>
      </c>
      <c r="G32" s="73" t="inlineStr">
        <is>
          <t>Oui</t>
        </is>
      </c>
      <c r="H32" s="72" t="inlineStr">
        <is>
          <t>Manque d'objectivité, omission de détails cruciaux, biais pro-USA.</t>
        </is>
      </c>
      <c r="I32" s="73" t="n">
        <v>3</v>
      </c>
      <c r="J32" s="73" t="n">
        <v>6</v>
      </c>
      <c r="K32" s="74">
        <f>IFERROR(I32/J32,0)</f>
        <v/>
      </c>
      <c r="L32" s="73" t="n">
        <v>7</v>
      </c>
      <c r="M32" s="73" t="n">
        <v>3165</v>
      </c>
      <c r="N32" s="73" t="n">
        <v>0</v>
      </c>
      <c r="O32" s="72" t="inlineStr">
        <is>
          <t>Image_Carrousel</t>
        </is>
      </c>
    </row>
    <row r="33" ht="13.5" customHeight="1" s="109">
      <c r="A33" s="35" t="inlineStr">
        <is>
          <t>https://www.instagram.com/p/DWOXscsAV5v/</t>
        </is>
      </c>
      <c r="B33" s="35" t="inlineStr">
        <is>
          <t>Politique &amp; Institutions</t>
        </is>
      </c>
      <c r="C33" s="35" t="inlineStr">
        <is>
          <t>Vie politique CH</t>
        </is>
      </c>
      <c r="D33" s="36" t="n">
        <v>50</v>
      </c>
      <c r="E33" s="36" t="inlineStr">
        <is>
          <t>N</t>
        </is>
      </c>
      <c r="F33" s="35" t="inlineStr">
        <is>
          <t>Présentation factuelle d'un sondage national sur la défense et la neutralité.</t>
        </is>
      </c>
      <c r="G33" s="36" t="inlineStr">
        <is>
          <t>Non</t>
        </is>
      </c>
      <c r="H33" s="35" t="n"/>
      <c r="I33" s="36" t="n">
        <v>0</v>
      </c>
      <c r="J33" s="36" t="n">
        <v>5</v>
      </c>
      <c r="K33" s="74">
        <f>IFERROR(I33/J33,0)</f>
        <v/>
      </c>
      <c r="L33" s="36" t="n">
        <v>163</v>
      </c>
      <c r="M33" s="36" t="n">
        <v>8315</v>
      </c>
      <c r="N33" s="36" t="n">
        <v>0</v>
      </c>
      <c r="O33" s="35" t="inlineStr">
        <is>
          <t>Image_Carrousel</t>
        </is>
      </c>
    </row>
    <row r="34" ht="13.5" customHeight="1" s="109">
      <c r="A34" s="72" t="inlineStr">
        <is>
          <t>https://www.instagram.com/p/DWOk267CHgH/</t>
        </is>
      </c>
      <c r="B34" s="72" t="inlineStr">
        <is>
          <t>International</t>
        </is>
      </c>
      <c r="C34" s="72" t="inlineStr">
        <is>
          <t>Geopolitique</t>
        </is>
      </c>
      <c r="D34" s="73" t="n">
        <v>45</v>
      </c>
      <c r="E34" s="73" t="inlineStr">
        <is>
          <t>N</t>
        </is>
      </c>
      <c r="F34" s="72" t="inlineStr">
        <is>
          <t>Média public suisse, vise la neutralité, rapporte faits et citations.</t>
        </is>
      </c>
      <c r="G34" s="73" t="inlineStr">
        <is>
          <t>Non</t>
        </is>
      </c>
      <c r="H34" s="72" t="n"/>
      <c r="I34" s="73" t="n">
        <v>0</v>
      </c>
      <c r="J34" s="73" t="n">
        <v>6</v>
      </c>
      <c r="K34" s="74">
        <f>IFERROR(I34/J34,0)</f>
        <v/>
      </c>
      <c r="L34" s="73" t="n">
        <v>93</v>
      </c>
      <c r="M34" s="73" t="n">
        <v>1468</v>
      </c>
      <c r="N34" s="73" t="n">
        <v>0</v>
      </c>
      <c r="O34" s="72" t="inlineStr">
        <is>
          <t>Image_Carrousel</t>
        </is>
      </c>
    </row>
    <row r="35" ht="13.5" customHeight="1" s="109">
      <c r="A35" s="35" t="inlineStr">
        <is>
          <t>https://www.instagram.com/p/DWMGz93jIBQ/</t>
        </is>
      </c>
      <c r="B35" s="35" t="inlineStr">
        <is>
          <t>International</t>
        </is>
      </c>
      <c r="C35" s="35" t="inlineStr">
        <is>
          <t>Conflits</t>
        </is>
      </c>
      <c r="D35" s="36" t="n">
        <v>45</v>
      </c>
      <c r="E35" s="36" t="inlineStr">
        <is>
          <t>N</t>
        </is>
      </c>
      <c r="F35" s="35" t="inlineStr">
        <is>
          <t>RTS public, présente faits, cherche neutralité sur conflit. Légèrement centre-gauche.</t>
        </is>
      </c>
      <c r="G35" s="36" t="inlineStr">
        <is>
          <t>Non</t>
        </is>
      </c>
      <c r="H35" s="35" t="n"/>
      <c r="I35" s="36" t="n">
        <v>0</v>
      </c>
      <c r="J35" s="36" t="n">
        <v>3</v>
      </c>
      <c r="K35" s="74">
        <f>IFERROR(I35/J35,0)</f>
        <v/>
      </c>
      <c r="L35" s="36" t="n">
        <v>210</v>
      </c>
      <c r="M35" s="36" t="n">
        <v>1413</v>
      </c>
      <c r="N35" s="36" t="n">
        <v>0</v>
      </c>
      <c r="O35" s="35" t="inlineStr">
        <is>
          <t>Image_Carrousel</t>
        </is>
      </c>
    </row>
    <row r="36" ht="13.5" customHeight="1" s="109">
      <c r="A36" s="72" t="inlineStr">
        <is>
          <t>https://www.instagram.com/p/DWJr_v3ApdO/</t>
        </is>
      </c>
      <c r="B36" s="72" t="inlineStr">
        <is>
          <t>Culture &amp; Loisirs</t>
        </is>
      </c>
      <c r="C36" s="72" t="inlineStr">
        <is>
          <t>Sport</t>
        </is>
      </c>
      <c r="D36" s="73" t="n">
        <v>40</v>
      </c>
      <c r="E36" s="73" t="inlineStr">
        <is>
          <t>G</t>
        </is>
      </c>
      <c r="F36" s="72" t="inlineStr">
        <is>
          <t>Média public suisse, ton neutre et inclusif (hommes/femmes).</t>
        </is>
      </c>
      <c r="G36" s="73" t="inlineStr">
        <is>
          <t>Non</t>
        </is>
      </c>
      <c r="H36" s="72" t="n"/>
      <c r="I36" s="73" t="n">
        <v>0</v>
      </c>
      <c r="J36" s="73" t="n">
        <v>8</v>
      </c>
      <c r="K36" s="74">
        <f>IFERROR(I36/J36,0)</f>
        <v/>
      </c>
      <c r="L36" s="73" t="n">
        <v>191</v>
      </c>
      <c r="M36" s="73" t="n">
        <v>5389</v>
      </c>
      <c r="N36" s="73" t="n">
        <v>0</v>
      </c>
      <c r="O36" s="72" t="inlineStr">
        <is>
          <t>Image_Carrousel</t>
        </is>
      </c>
    </row>
    <row r="37" ht="13.5" customHeight="1" s="109">
      <c r="A37" s="35" t="inlineStr">
        <is>
          <t>https://www.instagram.com/p/DWMVFj6DCbl/</t>
        </is>
      </c>
      <c r="B37" s="35" t="inlineStr">
        <is>
          <t>Environnement &amp; Nature</t>
        </is>
      </c>
      <c r="C37" s="35" t="inlineStr">
        <is>
          <t>Climat / Ecologie</t>
        </is>
      </c>
      <c r="D37" s="36" t="n">
        <v>45</v>
      </c>
      <c r="E37" s="36" t="inlineStr">
        <is>
          <t>N</t>
        </is>
      </c>
      <c r="F37" s="35" t="inlineStr">
        <is>
          <t>Média public suisse, valorise l'innovation durable et le progrès environnemental.</t>
        </is>
      </c>
      <c r="G37" s="36" t="inlineStr">
        <is>
          <t>Oui</t>
        </is>
      </c>
      <c r="H37" s="35" t="inlineStr">
        <is>
          <t>Critique de la rédaction inclusive du titre (genre).</t>
        </is>
      </c>
      <c r="I37" s="36" t="n">
        <v>1</v>
      </c>
      <c r="J37" s="36" t="n">
        <v>9</v>
      </c>
      <c r="K37" s="74">
        <f>IFERROR(I37/J37,0)</f>
        <v/>
      </c>
      <c r="L37" s="36" t="n">
        <v>11</v>
      </c>
      <c r="M37" s="36" t="n">
        <v>2207</v>
      </c>
      <c r="N37" s="36" t="n">
        <v>0</v>
      </c>
      <c r="O37" s="35" t="inlineStr">
        <is>
          <t>Image_Carrousel</t>
        </is>
      </c>
    </row>
    <row r="38" ht="13.5" customHeight="1" s="109">
      <c r="A38" s="72" t="inlineStr">
        <is>
          <t>https://www.instagram.com/p/DWJeYalApBt/</t>
        </is>
      </c>
      <c r="B38" s="72" t="inlineStr">
        <is>
          <t>Culture &amp; Loisirs</t>
        </is>
      </c>
      <c r="C38" s="72" t="inlineStr">
        <is>
          <t>Sport</t>
        </is>
      </c>
      <c r="D38" s="73" t="n">
        <v>50</v>
      </c>
      <c r="E38" s="73" t="inlineStr">
        <is>
          <t>N</t>
        </is>
      </c>
      <c r="F38" s="72" t="inlineStr">
        <is>
          <t>Reportage sportif factuel de RTS Sport, média de service public, ton neutre.</t>
        </is>
      </c>
      <c r="G38" s="73" t="inlineStr">
        <is>
          <t>Non</t>
        </is>
      </c>
      <c r="H38" s="72" t="inlineStr">
        <is>
          <t>Aucun commentaire ne critique le média ou son contenu.</t>
        </is>
      </c>
      <c r="I38" s="73" t="n">
        <v>0</v>
      </c>
      <c r="J38" s="73" t="n">
        <v>5</v>
      </c>
      <c r="K38" s="74">
        <f>IFERROR(I38/J38,0)</f>
        <v/>
      </c>
      <c r="L38" s="73" t="n">
        <v>6</v>
      </c>
      <c r="M38" s="73" t="n">
        <v>1903</v>
      </c>
      <c r="N38" s="73" t="n">
        <v>0</v>
      </c>
      <c r="O38" s="72" t="inlineStr">
        <is>
          <t>Image_Carrousel</t>
        </is>
      </c>
    </row>
    <row r="39" ht="13.5" customHeight="1" s="109">
      <c r="A39" s="35" t="inlineStr">
        <is>
          <t>https://www.instagram.com/p/DWLzp5_glq9/</t>
        </is>
      </c>
      <c r="B39" s="35" t="inlineStr">
        <is>
          <t>Culture &amp; Loisirs</t>
        </is>
      </c>
      <c r="C39" s="35" t="inlineStr">
        <is>
          <t>Sport</t>
        </is>
      </c>
      <c r="D39" s="36" t="n">
        <v>55</v>
      </c>
      <c r="E39" s="36" t="inlineStr">
        <is>
          <t>N</t>
        </is>
      </c>
      <c r="F39" s="35" t="inlineStr">
        <is>
          <t>RTS est un média de service public, généralement neutre et centré sur l'information.</t>
        </is>
      </c>
      <c r="G39" s="36" t="inlineStr">
        <is>
          <t>Oui</t>
        </is>
      </c>
      <c r="H39" s="35" t="inlineStr">
        <is>
          <t>Un commentaire conteste le caractère exceptionnel des attributs physiques du joueur.</t>
        </is>
      </c>
      <c r="I39" s="36" t="n">
        <v>1</v>
      </c>
      <c r="J39" s="36" t="n">
        <v>8</v>
      </c>
      <c r="K39" s="74">
        <f>IFERROR(I39/J39,0)</f>
        <v/>
      </c>
      <c r="L39" s="36" t="n">
        <v>29</v>
      </c>
      <c r="M39" s="36" t="n">
        <v>6609</v>
      </c>
      <c r="N39" s="36" t="n">
        <v>84920</v>
      </c>
      <c r="O39" s="35" t="inlineStr">
        <is>
          <t>Video</t>
        </is>
      </c>
    </row>
    <row r="40" ht="13.5" customHeight="1" s="109">
      <c r="A40" s="72" t="inlineStr">
        <is>
          <t>https://www.instagram.com/p/DWKJlPMAndt/</t>
        </is>
      </c>
      <c r="B40" s="72" t="inlineStr">
        <is>
          <t>Culture &amp; Loisirs</t>
        </is>
      </c>
      <c r="C40" s="72" t="inlineStr">
        <is>
          <t>Sport</t>
        </is>
      </c>
      <c r="D40" s="73" t="n">
        <v>50</v>
      </c>
      <c r="E40" s="73" t="inlineStr">
        <is>
          <t>N</t>
        </is>
      </c>
      <c r="F40" s="72" t="inlineStr">
        <is>
          <t>Média de service public, reportage factuel et neutre sur un événement sportif.</t>
        </is>
      </c>
      <c r="G40" s="73" t="inlineStr">
        <is>
          <t>Non</t>
        </is>
      </c>
      <c r="H40" s="72" t="n"/>
      <c r="I40" s="73" t="n">
        <v>0</v>
      </c>
      <c r="J40" s="73" t="n">
        <v>9</v>
      </c>
      <c r="K40" s="74">
        <f>IFERROR(I40/J40,0)</f>
        <v/>
      </c>
      <c r="L40" s="73" t="n">
        <v>44</v>
      </c>
      <c r="M40" s="73" t="n">
        <v>8562</v>
      </c>
      <c r="N40" s="73" t="n">
        <v>0</v>
      </c>
      <c r="O40" s="72" t="inlineStr">
        <is>
          <t>Image_Carrousel</t>
        </is>
      </c>
    </row>
    <row r="41" ht="13.5" customHeight="1" s="109">
      <c r="A41" s="35" t="inlineStr">
        <is>
          <t>https://www.instagram.com/p/DWMAmV-gjbh/</t>
        </is>
      </c>
      <c r="B41" s="35" t="inlineStr">
        <is>
          <t>Societe &amp; Droits</t>
        </is>
      </c>
      <c r="C41" s="35" t="inlineStr">
        <is>
          <t>Faits de societe</t>
        </is>
      </c>
      <c r="D41" s="36" t="n">
        <v>45</v>
      </c>
      <c r="E41" s="36" t="inlineStr">
        <is>
          <t>G</t>
        </is>
      </c>
      <c r="F41" s="35" t="inlineStr">
        <is>
          <t>Média public suisse, souvent perçu légèrement à gauche par son mandat.</t>
        </is>
      </c>
      <c r="G41" s="36" t="inlineStr">
        <is>
          <t>Oui</t>
        </is>
      </c>
      <c r="H41" s="35" t="inlineStr">
        <is>
          <t>Originalité/vérification de l'info remise en question par un commentaire.</t>
        </is>
      </c>
      <c r="I41" s="36" t="n">
        <v>1</v>
      </c>
      <c r="J41" s="36" t="n">
        <v>6</v>
      </c>
      <c r="K41" s="74">
        <f>IFERROR(I41/J41,0)</f>
        <v/>
      </c>
      <c r="L41" s="36" t="n">
        <v>18</v>
      </c>
      <c r="M41" s="36" t="n">
        <v>4583</v>
      </c>
      <c r="N41" s="36" t="n">
        <v>0</v>
      </c>
      <c r="O41" s="35" t="inlineStr">
        <is>
          <t>Image_Carrousel</t>
        </is>
      </c>
    </row>
    <row r="42" ht="13.5" customHeight="1" s="109">
      <c r="A42" s="72" t="inlineStr">
        <is>
          <t>https://www.instagram.com/p/DWL5o6NASCX/</t>
        </is>
      </c>
      <c r="B42" s="72" t="inlineStr">
        <is>
          <t>Environnement &amp; Nature</t>
        </is>
      </c>
      <c r="C42" s="72" t="inlineStr">
        <is>
          <t>Climat / Ecologie</t>
        </is>
      </c>
      <c r="D42" s="73" t="n">
        <v>50</v>
      </c>
      <c r="E42" s="73" t="inlineStr">
        <is>
          <t>N</t>
        </is>
      </c>
      <c r="F42" s="72" t="inlineStr">
        <is>
          <t>Média public suisse, vise la neutralité et l'information factuelle.</t>
        </is>
      </c>
      <c r="G42" s="73" t="inlineStr">
        <is>
          <t>Oui</t>
        </is>
      </c>
      <c r="H42" s="72" t="inlineStr">
        <is>
          <t>Manque de précision sur la date exacte de floraison actuelle.</t>
        </is>
      </c>
      <c r="I42" s="73" t="n">
        <v>1</v>
      </c>
      <c r="J42" s="73" t="n">
        <v>10</v>
      </c>
      <c r="K42" s="74">
        <f>IFERROR(I42/J42,0)</f>
        <v/>
      </c>
      <c r="L42" s="73" t="n">
        <v>36</v>
      </c>
      <c r="M42" s="73" t="n">
        <v>16302</v>
      </c>
      <c r="N42" s="73" t="n">
        <v>0</v>
      </c>
      <c r="O42" s="72" t="inlineStr">
        <is>
          <t>Image_Carrousel</t>
        </is>
      </c>
    </row>
    <row r="43" ht="13.5" customHeight="1" s="109">
      <c r="A43" s="35" t="inlineStr">
        <is>
          <t>https://www.instagram.com/p/DWRlvGME5YK/</t>
        </is>
      </c>
      <c r="B43" s="35" t="inlineStr">
        <is>
          <t>International</t>
        </is>
      </c>
      <c r="C43" s="35" t="inlineStr">
        <is>
          <t>Geopolitique</t>
        </is>
      </c>
      <c r="D43" s="36" t="n">
        <v>25</v>
      </c>
      <c r="E43" s="36" t="inlineStr">
        <is>
          <t>G</t>
        </is>
      </c>
      <c r="F43" s="35" t="inlineStr">
        <is>
          <t>Le média blâme le blocus américain pour les problèmes de Cuba, rejetant d'autres explications.</t>
        </is>
      </c>
      <c r="G43" s="36" t="inlineStr">
        <is>
          <t>Oui</t>
        </is>
      </c>
      <c r="H43" s="35" t="inlineStr">
        <is>
          <t>Biais perçu, blâme uniquement le blocus américain, ignore gestion interne.</t>
        </is>
      </c>
      <c r="I43" s="36" t="n">
        <v>1</v>
      </c>
      <c r="J43" s="36" t="n">
        <v>3</v>
      </c>
      <c r="K43" s="74">
        <f>IFERROR(I43/J43,0)</f>
        <v/>
      </c>
      <c r="L43" s="36" t="n">
        <v>41</v>
      </c>
      <c r="M43" s="36" t="n">
        <v>815</v>
      </c>
      <c r="N43" s="36" t="n">
        <v>17629</v>
      </c>
      <c r="O43" s="35" t="inlineStr">
        <is>
          <t>Video</t>
        </is>
      </c>
    </row>
    <row r="44" ht="13.5" customHeight="1" s="109">
      <c r="A44" s="72" t="inlineStr">
        <is>
          <t>https://www.instagram.com/p/DWMcFNXAcYW/</t>
        </is>
      </c>
      <c r="B44" s="72" t="inlineStr">
        <is>
          <t>Sante</t>
        </is>
      </c>
      <c r="C44" s="72" t="inlineStr">
        <is>
          <t>Sante publique</t>
        </is>
      </c>
      <c r="D44" s="73" t="n">
        <v>45</v>
      </c>
      <c r="E44" s="73" t="inlineStr">
        <is>
          <t>N</t>
        </is>
      </c>
      <c r="F44" s="72" t="inlineStr">
        <is>
          <t>Service public, met en lumière un problème social pour sensibiliser.</t>
        </is>
      </c>
      <c r="G44" s="73" t="inlineStr">
        <is>
          <t>Oui</t>
        </is>
      </c>
      <c r="H44" s="72" t="inlineStr">
        <is>
          <t>Profondeur du traitement jugée insuffisante, appel à plus d'action.</t>
        </is>
      </c>
      <c r="I44" s="73" t="n">
        <v>1</v>
      </c>
      <c r="J44" s="73" t="n">
        <v>8</v>
      </c>
      <c r="K44" s="74">
        <f>IFERROR(I44/J44,0)</f>
        <v/>
      </c>
      <c r="L44" s="73" t="n">
        <v>49</v>
      </c>
      <c r="M44" s="73" t="n">
        <v>2801</v>
      </c>
      <c r="N44" s="73" t="n">
        <v>52400</v>
      </c>
      <c r="O44" s="72" t="inlineStr">
        <is>
          <t>Video</t>
        </is>
      </c>
    </row>
    <row r="45" ht="13.5" customHeight="1" s="109">
      <c r="A45" s="35" t="inlineStr">
        <is>
          <t>https://www.instagram.com/p/DWJDoH8FxAD/</t>
        </is>
      </c>
      <c r="B45" s="35" t="inlineStr">
        <is>
          <t>Environnement &amp; Nature</t>
        </is>
      </c>
      <c r="C45" s="35" t="inlineStr">
        <is>
          <t>Climat / Ecologie</t>
        </is>
      </c>
      <c r="D45" s="36" t="n">
        <v>45</v>
      </c>
      <c r="E45" s="36" t="inlineStr">
        <is>
          <t>N</t>
        </is>
      </c>
      <c r="F45" s="35" t="inlineStr">
        <is>
          <t>Média public, factuel. Sensibilise sur l'état des espèces menacées et la conservation.</t>
        </is>
      </c>
      <c r="G45" s="36" t="inlineStr">
        <is>
          <t>Oui</t>
        </is>
      </c>
      <c r="H45" s="35" t="inlineStr">
        <is>
          <t>Correction d'une faute d'orthographe (Kofodan/Kordofan) dans le titre.</t>
        </is>
      </c>
      <c r="I45" s="36" t="n">
        <v>1</v>
      </c>
      <c r="J45" s="36" t="n">
        <v>8</v>
      </c>
      <c r="K45" s="74">
        <f>IFERROR(I45/J45,0)</f>
        <v/>
      </c>
      <c r="L45" s="36" t="n">
        <v>17</v>
      </c>
      <c r="M45" s="36" t="n">
        <v>5932</v>
      </c>
      <c r="N45" s="36" t="n">
        <v>0</v>
      </c>
      <c r="O45" s="35" t="inlineStr">
        <is>
          <t>Image_Carrousel</t>
        </is>
      </c>
    </row>
    <row r="46" ht="13.5" customHeight="1" s="109">
      <c r="A46" s="72" t="inlineStr">
        <is>
          <t>https://www.instagram.com/p/DWLXagJgXcF/</t>
        </is>
      </c>
      <c r="B46" s="72" t="inlineStr">
        <is>
          <t>Sante</t>
        </is>
      </c>
      <c r="C46" s="72" t="inlineStr">
        <is>
          <t>Sante publique</t>
        </is>
      </c>
      <c r="D46" s="73" t="n">
        <v>50</v>
      </c>
      <c r="E46" s="73" t="inlineStr">
        <is>
          <t>N</t>
        </is>
      </c>
      <c r="F46" s="72" t="inlineStr">
        <is>
          <t>RTS FastCheck fournit une analyse factuelle et scientifique sur la consommation de café.</t>
        </is>
      </c>
      <c r="G46" s="73" t="inlineStr">
        <is>
          <t>Non</t>
        </is>
      </c>
      <c r="H46" s="72" t="n"/>
      <c r="I46" s="73" t="n">
        <v>0</v>
      </c>
      <c r="J46" s="73" t="n">
        <v>3</v>
      </c>
      <c r="K46" s="74">
        <f>IFERROR(I46/J46,0)</f>
        <v/>
      </c>
      <c r="L46" s="73" t="n">
        <v>15</v>
      </c>
      <c r="M46" s="73" t="n">
        <v>687</v>
      </c>
      <c r="N46" s="73" t="n">
        <v>15048</v>
      </c>
      <c r="O46" s="72" t="inlineStr">
        <is>
          <t>Video</t>
        </is>
      </c>
    </row>
    <row r="47" ht="13.5" customHeight="1" s="109">
      <c r="A47" s="35" t="inlineStr">
        <is>
          <t>https://www.instagram.com/p/DWJGpUsjqFS/</t>
        </is>
      </c>
      <c r="B47" s="35" t="inlineStr">
        <is>
          <t>International</t>
        </is>
      </c>
      <c r="C47" s="35" t="inlineStr">
        <is>
          <t>Conflits</t>
        </is>
      </c>
      <c r="D47" s="36" t="n">
        <v>50</v>
      </c>
      <c r="E47" s="36" t="inlineStr">
        <is>
          <t>N</t>
        </is>
      </c>
      <c r="F47" s="35" t="inlineStr">
        <is>
          <t>Rapportage factuel et équilibré des actions et déclarations des parties impliquées.</t>
        </is>
      </c>
      <c r="G47" s="36" t="inlineStr">
        <is>
          <t>Oui</t>
        </is>
      </c>
      <c r="H47" s="35" t="inlineStr">
        <is>
          <t>Interrogation sur l'expertise ou le rôle du média.</t>
        </is>
      </c>
      <c r="I47" s="36" t="n">
        <v>1</v>
      </c>
      <c r="J47" s="36" t="n">
        <v>4</v>
      </c>
      <c r="K47" s="74">
        <f>IFERROR(I47/J47,0)</f>
        <v/>
      </c>
      <c r="L47" s="36" t="n">
        <v>123</v>
      </c>
      <c r="M47" s="36" t="n">
        <v>1882</v>
      </c>
      <c r="N47" s="36" t="n">
        <v>0</v>
      </c>
      <c r="O47" s="35" t="inlineStr">
        <is>
          <t>Image_Carrousel</t>
        </is>
      </c>
    </row>
    <row r="48" ht="13.5" customHeight="1" s="109">
      <c r="A48" s="72" t="inlineStr">
        <is>
          <t>https://www.instagram.com/p/DWMi8PhDNb-/</t>
        </is>
      </c>
      <c r="B48" s="72" t="inlineStr">
        <is>
          <t>Politique &amp; Institutions</t>
        </is>
      </c>
      <c r="C48" s="72" t="inlineStr">
        <is>
          <t>Autorites</t>
        </is>
      </c>
      <c r="D48" s="73" t="n">
        <v>60</v>
      </c>
      <c r="E48" s="73" t="inlineStr">
        <is>
          <t>D</t>
        </is>
      </c>
      <c r="F48" s="72" t="inlineStr">
        <is>
          <t>Article respectueux envers la royauté, cadre positif d'un monarque.</t>
        </is>
      </c>
      <c r="G48" s="73" t="inlineStr">
        <is>
          <t>Oui</t>
        </is>
      </c>
      <c r="H48" s="72" t="inlineStr">
        <is>
          <t>Terminologie "copilote" imprécise, manque de clarté sur le rôle.</t>
        </is>
      </c>
      <c r="I48" s="73" t="n">
        <v>2</v>
      </c>
      <c r="J48" s="73" t="n">
        <v>9</v>
      </c>
      <c r="K48" s="74">
        <f>IFERROR(I48/J48,0)</f>
        <v/>
      </c>
      <c r="L48" s="73" t="n">
        <v>17</v>
      </c>
      <c r="M48" s="73" t="n">
        <v>6202</v>
      </c>
      <c r="N48" s="73" t="n">
        <v>0</v>
      </c>
      <c r="O48" s="72" t="inlineStr">
        <is>
          <t>Image_Carrousel</t>
        </is>
      </c>
    </row>
    <row r="49" ht="13.5" customHeight="1" s="109">
      <c r="A49" s="35" t="inlineStr">
        <is>
          <t>https://www.instagram.com/p/DWHKsbhgp5b/</t>
        </is>
      </c>
      <c r="B49" s="35" t="inlineStr">
        <is>
          <t>Culture &amp; Loisirs</t>
        </is>
      </c>
      <c r="C49" s="35" t="inlineStr">
        <is>
          <t>Sport</t>
        </is>
      </c>
      <c r="D49" s="36" t="n">
        <v>50</v>
      </c>
      <c r="E49" s="36" t="inlineStr">
        <is>
          <t>N</t>
        </is>
      </c>
      <c r="F49" s="35" t="inlineStr">
        <is>
          <t>RTS couvre le sport de manière factuelle, axée sur la performance et l'histoire du club.</t>
        </is>
      </c>
      <c r="G49" s="36" t="inlineStr">
        <is>
          <t>Non</t>
        </is>
      </c>
      <c r="H49" s="35" t="n"/>
      <c r="I49" s="36" t="n">
        <v>0</v>
      </c>
      <c r="J49" s="36" t="n">
        <v>5</v>
      </c>
      <c r="K49" s="74">
        <f>IFERROR(I49/J49,0)</f>
        <v/>
      </c>
      <c r="L49" s="36" t="n">
        <v>17</v>
      </c>
      <c r="M49" s="36" t="n">
        <v>3057</v>
      </c>
      <c r="N49" s="36" t="n">
        <v>0</v>
      </c>
      <c r="O49" s="35" t="inlineStr">
        <is>
          <t>Image_Carrousel</t>
        </is>
      </c>
    </row>
    <row r="50" ht="13.5" customHeight="1" s="109">
      <c r="A50" s="72" t="inlineStr">
        <is>
          <t>https://www.instagram.com/p/DWJJb23jfSt/</t>
        </is>
      </c>
      <c r="B50" s="72" t="inlineStr">
        <is>
          <t>Culture &amp; Loisirs</t>
        </is>
      </c>
      <c r="C50" s="72" t="inlineStr">
        <is>
          <t>Medias</t>
        </is>
      </c>
      <c r="D50" s="73" t="n">
        <v>40</v>
      </c>
      <c r="E50" s="73" t="inlineStr">
        <is>
          <t>N</t>
        </is>
      </c>
      <c r="F50" s="72" t="inlineStr">
        <is>
          <t>Média public, reportage neutre sur la culture populaire.</t>
        </is>
      </c>
      <c r="G50" s="73" t="inlineStr">
        <is>
          <t>Non</t>
        </is>
      </c>
      <c r="H50" s="72" t="n"/>
      <c r="I50" s="73" t="n">
        <v>0</v>
      </c>
      <c r="J50" s="73" t="n">
        <v>5</v>
      </c>
      <c r="K50" s="74">
        <f>IFERROR(I50/J50,0)</f>
        <v/>
      </c>
      <c r="L50" s="73" t="n">
        <v>70</v>
      </c>
      <c r="M50" s="73" t="n">
        <v>4109</v>
      </c>
      <c r="N50" s="73" t="n">
        <v>0</v>
      </c>
      <c r="O50" s="72" t="inlineStr">
        <is>
          <t>Image_Carrousel</t>
        </is>
      </c>
    </row>
    <row r="51" ht="13.5" customHeight="1" s="109">
      <c r="A51" s="35" t="inlineStr">
        <is>
          <t>https://www.instagram.com/p/DWLyyYbiL-_/</t>
        </is>
      </c>
      <c r="B51" s="35" t="inlineStr">
        <is>
          <t>Securite &amp; Justice</t>
        </is>
      </c>
      <c r="C51" s="35" t="inlineStr">
        <is>
          <t>Justice</t>
        </is>
      </c>
      <c r="D51" s="36" t="n">
        <v>50</v>
      </c>
      <c r="E51" s="36" t="inlineStr">
        <is>
          <t>N</t>
        </is>
      </c>
      <c r="F51" s="35" t="inlineStr">
        <is>
          <t>RTS reportage factuel sur les attentats et leur procès, ton neutre.</t>
        </is>
      </c>
      <c r="G51" s="36" t="inlineStr">
        <is>
          <t>Non</t>
        </is>
      </c>
      <c r="H51" s="35" t="n"/>
      <c r="I51" s="36" t="n">
        <v>0</v>
      </c>
      <c r="J51" s="36" t="n">
        <v>9</v>
      </c>
      <c r="K51" s="74">
        <f>IFERROR(I51/J51,0)</f>
        <v/>
      </c>
      <c r="L51" s="36" t="n">
        <v>49</v>
      </c>
      <c r="M51" s="36" t="n">
        <v>3060</v>
      </c>
      <c r="N51" s="36" t="n">
        <v>0</v>
      </c>
      <c r="O51" s="35" t="inlineStr">
        <is>
          <t>Image_Carrousel</t>
        </is>
      </c>
    </row>
    <row r="52" ht="13.5" customHeight="1" s="109">
      <c r="A52" s="72" t="inlineStr">
        <is>
          <t>https://www.instagram.com/p/DWQTRFygJuk/</t>
        </is>
      </c>
      <c r="B52" s="72" t="inlineStr">
        <is>
          <t>Culture &amp; Loisirs</t>
        </is>
      </c>
      <c r="C52" s="72" t="inlineStr">
        <is>
          <t>Arts</t>
        </is>
      </c>
      <c r="D52" s="73" t="n">
        <v>45</v>
      </c>
      <c r="E52" s="73" t="inlineStr">
        <is>
          <t>N</t>
        </is>
      </c>
      <c r="F52" s="72" t="inlineStr">
        <is>
          <t>RTS, service public, aborde un sujet d'actualité technologique de manière équilibrée.</t>
        </is>
      </c>
      <c r="G52" s="73" t="inlineStr">
        <is>
          <t>Oui</t>
        </is>
      </c>
      <c r="H52" s="72" t="inlineStr">
        <is>
          <t>Un commentaire juge honteux que le média aborde ce sujet.</t>
        </is>
      </c>
      <c r="I52" s="73" t="n">
        <v>1</v>
      </c>
      <c r="J52" s="73" t="n">
        <v>8</v>
      </c>
      <c r="K52" s="74">
        <f>IFERROR(I52/J52,0)</f>
        <v/>
      </c>
      <c r="L52" s="73" t="n">
        <v>86</v>
      </c>
      <c r="M52" s="73" t="n">
        <v>2209</v>
      </c>
      <c r="N52" s="73" t="n">
        <v>43674</v>
      </c>
      <c r="O52" s="72" t="inlineStr">
        <is>
          <t>Video</t>
        </is>
      </c>
    </row>
    <row r="53" ht="13.5" customHeight="1" s="109">
      <c r="A53" s="35" t="inlineStr">
        <is>
          <t>https://www.instagram.com/p/DWIymyriirf/</t>
        </is>
      </c>
      <c r="B53" s="35" t="inlineStr">
        <is>
          <t>Securite &amp; Justice</t>
        </is>
      </c>
      <c r="C53" s="35" t="inlineStr">
        <is>
          <t>Ordre public</t>
        </is>
      </c>
      <c r="D53" s="36" t="n">
        <v>50</v>
      </c>
      <c r="E53" s="36" t="inlineStr">
        <is>
          <t>N</t>
        </is>
      </c>
      <c r="F53" s="35" t="inlineStr">
        <is>
          <t>RTSinfo rapporte faits officiels des douanes sans biais apparent.</t>
        </is>
      </c>
      <c r="G53" s="36" t="inlineStr">
        <is>
          <t>Oui</t>
        </is>
      </c>
      <c r="H53" s="35" t="inlineStr">
        <is>
          <t>Accusé d'exagérer ou de sensationnaliser l'information.</t>
        </is>
      </c>
      <c r="I53" s="36" t="n">
        <v>1</v>
      </c>
      <c r="J53" s="36" t="n">
        <v>5</v>
      </c>
      <c r="K53" s="74">
        <f>IFERROR(I53/J53,0)</f>
        <v/>
      </c>
      <c r="L53" s="36" t="n">
        <v>12</v>
      </c>
      <c r="M53" s="36" t="n">
        <v>681</v>
      </c>
      <c r="N53" s="36" t="n">
        <v>40366</v>
      </c>
      <c r="O53" s="35" t="inlineStr">
        <is>
          <t>Video</t>
        </is>
      </c>
    </row>
    <row r="54" ht="13.5" customHeight="1" s="109">
      <c r="A54" s="72" t="inlineStr">
        <is>
          <t>https://www.instagram.com/p/DWJwc3pjdCu/</t>
        </is>
      </c>
      <c r="B54" s="72" t="inlineStr">
        <is>
          <t>Environnement &amp; Nature</t>
        </is>
      </c>
      <c r="C54" s="72" t="inlineStr">
        <is>
          <t>Climat / Ecologie</t>
        </is>
      </c>
      <c r="D54" s="73" t="n">
        <v>50</v>
      </c>
      <c r="E54" s="73" t="inlineStr">
        <is>
          <t>N</t>
        </is>
      </c>
      <c r="F54" s="72" t="inlineStr">
        <is>
          <t>Média de service public, reportage factuel sur un marché illégal mondial.</t>
        </is>
      </c>
      <c r="G54" s="73" t="inlineStr">
        <is>
          <t>Non</t>
        </is>
      </c>
      <c r="H54" s="72" t="n"/>
      <c r="I54" s="73" t="n">
        <v>0</v>
      </c>
      <c r="J54" s="73" t="n">
        <v>10</v>
      </c>
      <c r="K54" s="74">
        <f>IFERROR(I54/J54,0)</f>
        <v/>
      </c>
      <c r="L54" s="73" t="n">
        <v>12</v>
      </c>
      <c r="M54" s="73" t="n">
        <v>1149</v>
      </c>
      <c r="N54" s="73" t="n">
        <v>0</v>
      </c>
      <c r="O54" s="72" t="inlineStr">
        <is>
          <t>Image_Carrousel</t>
        </is>
      </c>
    </row>
    <row r="55" ht="13.5" customHeight="1" s="109">
      <c r="A55" s="35" t="inlineStr">
        <is>
          <t>https://www.instagram.com/p/DWHgGeuDazN/</t>
        </is>
      </c>
      <c r="B55" s="35" t="inlineStr">
        <is>
          <t>Politique &amp; Institutions</t>
        </is>
      </c>
      <c r="C55" s="35" t="inlineStr">
        <is>
          <t>Vie politique CH</t>
        </is>
      </c>
      <c r="D55" s="36" t="n">
        <v>50</v>
      </c>
      <c r="E55" s="36" t="inlineStr">
        <is>
          <t>N</t>
        </is>
      </c>
      <c r="F55" s="35" t="inlineStr">
        <is>
          <t>Média public suisse, rapporte les faits de manière neutre et objective sans prise de position.</t>
        </is>
      </c>
      <c r="G55" s="36" t="inlineStr">
        <is>
          <t>Non</t>
        </is>
      </c>
      <c r="H55" s="35" t="inlineStr">
        <is>
          <t>Aucune critique explicite du média parmi les commentaires fournis.</t>
        </is>
      </c>
      <c r="I55" s="36" t="n">
        <v>0</v>
      </c>
      <c r="J55" s="36" t="n">
        <v>2</v>
      </c>
      <c r="K55" s="74">
        <f>IFERROR(I55/J55,0)</f>
        <v/>
      </c>
      <c r="L55" s="36" t="n">
        <v>163</v>
      </c>
      <c r="M55" s="36" t="n">
        <v>3537</v>
      </c>
      <c r="N55" s="36" t="n">
        <v>0</v>
      </c>
      <c r="O55" s="35" t="inlineStr">
        <is>
          <t>Image_Carrousel</t>
        </is>
      </c>
    </row>
    <row r="56" ht="13.5" customHeight="1" s="109">
      <c r="A56" s="72" t="inlineStr">
        <is>
          <t>https://www.instagram.com/p/DWJUyIqCFt9/</t>
        </is>
      </c>
      <c r="B56" s="72" t="inlineStr">
        <is>
          <t>Environnement &amp; Nature</t>
        </is>
      </c>
      <c r="C56" s="72" t="inlineStr">
        <is>
          <t>Climat / Ecologie</t>
        </is>
      </c>
      <c r="D56" s="73" t="n">
        <v>45</v>
      </c>
      <c r="E56" s="73" t="inlineStr">
        <is>
          <t>N</t>
        </is>
      </c>
      <c r="F56" s="72" t="inlineStr">
        <is>
          <t>Média public suisse, contenu scientifique factuel, léger penchant gauche perçu.</t>
        </is>
      </c>
      <c r="G56" s="73" t="inlineStr">
        <is>
          <t>Oui</t>
        </is>
      </c>
      <c r="H56" s="72" t="inlineStr">
        <is>
          <t>Un commentaire conteste la pertinence du sujet scientifique choisi par le média.</t>
        </is>
      </c>
      <c r="I56" s="73" t="n">
        <v>1</v>
      </c>
      <c r="J56" s="73" t="n">
        <v>3</v>
      </c>
      <c r="K56" s="74">
        <f>IFERROR(I56/J56,0)</f>
        <v/>
      </c>
      <c r="L56" s="73" t="n">
        <v>11</v>
      </c>
      <c r="M56" s="73" t="n">
        <v>2379</v>
      </c>
      <c r="N56" s="73" t="n">
        <v>0</v>
      </c>
      <c r="O56" s="72" t="inlineStr">
        <is>
          <t>Image_Carrousel</t>
        </is>
      </c>
    </row>
    <row r="57" ht="13.5" customHeight="1" s="109">
      <c r="A57" s="35" t="inlineStr">
        <is>
          <t>https://www.instagram.com/p/DWJbtahjhHH/</t>
        </is>
      </c>
      <c r="B57" s="35" t="inlineStr">
        <is>
          <t>Culture &amp; Loisirs</t>
        </is>
      </c>
      <c r="C57" s="35" t="inlineStr">
        <is>
          <t>Arts</t>
        </is>
      </c>
      <c r="D57" s="36" t="n">
        <v>50</v>
      </c>
      <c r="E57" s="36" t="inlineStr">
        <is>
          <t>N</t>
        </is>
      </c>
      <c r="F57" s="35" t="inlineStr">
        <is>
          <t>RTS est un média de service public, cherchant l'objectivité et l'équilibre.</t>
        </is>
      </c>
      <c r="G57" s="36" t="inlineStr">
        <is>
          <t>Non</t>
        </is>
      </c>
      <c r="H57" s="35" t="inlineStr">
        <is>
          <t>Aucune critique envers le média.</t>
        </is>
      </c>
      <c r="I57" s="36" t="n">
        <v>0</v>
      </c>
      <c r="J57" s="36" t="n">
        <v>9</v>
      </c>
      <c r="K57" s="74">
        <f>IFERROR(I57/J57,0)</f>
        <v/>
      </c>
      <c r="L57" s="36" t="n">
        <v>33</v>
      </c>
      <c r="M57" s="36" t="n">
        <v>992</v>
      </c>
      <c r="N57" s="36" t="n">
        <v>0</v>
      </c>
      <c r="O57" s="35" t="inlineStr">
        <is>
          <t>Image_Carrousel</t>
        </is>
      </c>
    </row>
    <row r="58" ht="13.5" customHeight="1" s="109">
      <c r="A58" s="72" t="inlineStr">
        <is>
          <t>https://www.instagram.com/p/DWJ3HAECGWh/</t>
        </is>
      </c>
      <c r="B58" s="72" t="inlineStr">
        <is>
          <t>International</t>
        </is>
      </c>
      <c r="C58" s="72" t="inlineStr">
        <is>
          <t>Geopolitique</t>
        </is>
      </c>
      <c r="D58" s="73" t="n">
        <v>45</v>
      </c>
      <c r="E58" s="73" t="inlineStr">
        <is>
          <t>N</t>
        </is>
      </c>
      <c r="F58" s="72" t="inlineStr">
        <is>
          <t>Rapport factuel sur l'innovation technologique, la domination et les enjeux stratégiques.</t>
        </is>
      </c>
      <c r="G58" s="73" t="inlineStr">
        <is>
          <t>Non</t>
        </is>
      </c>
      <c r="H58" s="72" t="n"/>
      <c r="I58" s="73" t="n">
        <v>0</v>
      </c>
      <c r="J58" s="73" t="n">
        <v>5</v>
      </c>
      <c r="K58" s="74">
        <f>IFERROR(I58/J58,0)</f>
        <v/>
      </c>
      <c r="L58" s="73" t="n">
        <v>15</v>
      </c>
      <c r="M58" s="73" t="n">
        <v>1235</v>
      </c>
      <c r="N58" s="73" t="n">
        <v>0</v>
      </c>
      <c r="O58" s="72" t="inlineStr">
        <is>
          <t>Image_Carrousel</t>
        </is>
      </c>
    </row>
    <row r="59" ht="13.5" customHeight="1" s="109">
      <c r="A59" s="35" t="inlineStr">
        <is>
          <t>https://www.instagram.com/p/DWJRW92gqIx/</t>
        </is>
      </c>
      <c r="B59" s="35" t="inlineStr">
        <is>
          <t>Culture &amp; Loisirs</t>
        </is>
      </c>
      <c r="C59" s="35" t="inlineStr">
        <is>
          <t>Arts</t>
        </is>
      </c>
      <c r="D59" s="36" t="n">
        <v>50</v>
      </c>
      <c r="E59" s="36" t="inlineStr">
        <is>
          <t>N</t>
        </is>
      </c>
      <c r="F59" s="35" t="inlineStr">
        <is>
          <t>Média de service public, ton informatif et neutre sur la culture populaire.</t>
        </is>
      </c>
      <c r="G59" s="36" t="inlineStr">
        <is>
          <t>Oui</t>
        </is>
      </c>
      <c r="H59" s="35" t="inlineStr">
        <is>
          <t>Statistiques et affirmation sur la popularité du héros contestées.</t>
        </is>
      </c>
      <c r="I59" s="36" t="n">
        <v>3</v>
      </c>
      <c r="J59" s="36" t="n">
        <v>5</v>
      </c>
      <c r="K59" s="74">
        <f>IFERROR(I59/J59,0)</f>
        <v/>
      </c>
      <c r="L59" s="36" t="n">
        <v>23</v>
      </c>
      <c r="M59" s="36" t="n">
        <v>6878</v>
      </c>
      <c r="N59" s="36" t="n">
        <v>0</v>
      </c>
      <c r="O59" s="35" t="inlineStr">
        <is>
          <t>Image_Carrousel</t>
        </is>
      </c>
    </row>
    <row r="60" ht="13.5" customHeight="1" s="109">
      <c r="A60" s="72" t="inlineStr">
        <is>
          <t>https://www.instagram.com/p/DWLogODDCg0/</t>
        </is>
      </c>
      <c r="B60" s="72" t="inlineStr">
        <is>
          <t>International</t>
        </is>
      </c>
      <c r="C60" s="72" t="inlineStr">
        <is>
          <t>Conflits</t>
        </is>
      </c>
      <c r="D60" s="73" t="n">
        <v>20</v>
      </c>
      <c r="E60" s="73" t="inlineStr">
        <is>
          <t>G</t>
        </is>
      </c>
      <c r="F60" s="72" t="inlineStr">
        <is>
          <t>Focus sur voix marginalisées, défiant l'absence médiatique du conflit de Gaza.</t>
        </is>
      </c>
      <c r="G60" s="73" t="inlineStr">
        <is>
          <t>Oui</t>
        </is>
      </c>
      <c r="H60" s="72" t="inlineStr">
        <is>
          <t>Critique focus médiatique général et choix de terminologie (guerre vs génocide).</t>
        </is>
      </c>
      <c r="I60" s="73" t="n">
        <v>2</v>
      </c>
      <c r="J60" s="73" t="n">
        <v>8</v>
      </c>
      <c r="K60" s="74">
        <f>IFERROR(I60/J60,0)</f>
        <v/>
      </c>
      <c r="L60" s="73" t="n">
        <v>230</v>
      </c>
      <c r="M60" s="73" t="n">
        <v>4683</v>
      </c>
      <c r="N60" s="73" t="n">
        <v>0</v>
      </c>
      <c r="O60" s="72" t="inlineStr">
        <is>
          <t>Image_Carrousel</t>
        </is>
      </c>
    </row>
    <row r="61" ht="13.5" customHeight="1" s="109">
      <c r="A61" s="35" t="inlineStr">
        <is>
          <t>https://www.instagram.com/p/DWEEIn0Ai6Z/</t>
        </is>
      </c>
      <c r="B61" s="35" t="inlineStr">
        <is>
          <t>Culture &amp; Loisirs</t>
        </is>
      </c>
      <c r="C61" s="35" t="inlineStr">
        <is>
          <t>Sport</t>
        </is>
      </c>
      <c r="D61" s="36" t="n">
        <v>45</v>
      </c>
      <c r="E61" s="36" t="inlineStr">
        <is>
          <t>N</t>
        </is>
      </c>
      <c r="F61" s="35" t="inlineStr">
        <is>
          <t>RTS, média public, rapporte des faits sportifs sans orientation politique marquée.</t>
        </is>
      </c>
      <c r="G61" s="36" t="inlineStr">
        <is>
          <t>Non</t>
        </is>
      </c>
      <c r="H61" s="35" t="inlineStr">
        <is>
          <t>Aucun commentaire ne critique le média lui-même, seulement les choix du sélectionneur.</t>
        </is>
      </c>
      <c r="I61" s="36" t="n">
        <v>0</v>
      </c>
      <c r="J61" s="36" t="n">
        <v>9</v>
      </c>
      <c r="K61" s="74">
        <f>IFERROR(I61/J61,0)</f>
        <v/>
      </c>
      <c r="L61" s="36" t="n">
        <v>16</v>
      </c>
      <c r="M61" s="36" t="n">
        <v>4132</v>
      </c>
      <c r="N61" s="36" t="n">
        <v>0</v>
      </c>
      <c r="O61" s="35" t="inlineStr">
        <is>
          <t>Image_Carrousel</t>
        </is>
      </c>
    </row>
    <row r="62" ht="13.5" customHeight="1" s="109">
      <c r="A62" s="72" t="inlineStr">
        <is>
          <t>https://www.instagram.com/p/DWHAjm6Ddbu/</t>
        </is>
      </c>
      <c r="B62" s="72" t="inlineStr">
        <is>
          <t>Culture &amp; Loisirs</t>
        </is>
      </c>
      <c r="C62" s="72" t="inlineStr">
        <is>
          <t>Arts</t>
        </is>
      </c>
      <c r="D62" s="73" t="n">
        <v>50</v>
      </c>
      <c r="E62" s="73" t="inlineStr">
        <is>
          <t>N</t>
        </is>
      </c>
      <c r="F62" s="72" t="inlineStr">
        <is>
          <t>Reportage factuel sur un décès de célébrité, sans prise de position.</t>
        </is>
      </c>
      <c r="G62" s="73" t="inlineStr">
        <is>
          <t>Non</t>
        </is>
      </c>
      <c r="H62" s="72" t="inlineStr">
        <is>
          <t>Aucun commentaire ne critique le média ou son traitement de l'information.</t>
        </is>
      </c>
      <c r="I62" s="73" t="n">
        <v>0</v>
      </c>
      <c r="J62" s="73" t="n">
        <v>9</v>
      </c>
      <c r="K62" s="74">
        <f>IFERROR(I62/J62,0)</f>
        <v/>
      </c>
      <c r="L62" s="73" t="n">
        <v>237</v>
      </c>
      <c r="M62" s="73" t="n">
        <v>20059</v>
      </c>
      <c r="N62" s="73" t="n">
        <v>0</v>
      </c>
      <c r="O62" s="72" t="inlineStr">
        <is>
          <t>Image_Carrousel</t>
        </is>
      </c>
    </row>
    <row r="63" ht="13.5" customHeight="1" s="109">
      <c r="A63" s="35" t="inlineStr">
        <is>
          <t>https://www.instagram.com/p/DWGwIs2jbxj/</t>
        </is>
      </c>
      <c r="B63" s="35" t="inlineStr">
        <is>
          <t>International</t>
        </is>
      </c>
      <c r="C63" s="35" t="inlineStr">
        <is>
          <t>Geopolitique</t>
        </is>
      </c>
      <c r="D63" s="36" t="n">
        <v>50</v>
      </c>
      <c r="E63" s="36" t="inlineStr">
        <is>
          <t>N</t>
        </is>
      </c>
      <c r="F63" s="35" t="inlineStr">
        <is>
          <t>RTS rapporte objectivement une décision gouvernementale basée sur la neutralité suisse.</t>
        </is>
      </c>
      <c r="G63" s="36" t="inlineStr">
        <is>
          <t>Oui</t>
        </is>
      </c>
      <c r="H63" s="35" t="inlineStr">
        <is>
          <t>Un commentaire suggère que le média présente une décision gouvernementale inefficace.</t>
        </is>
      </c>
      <c r="I63" s="36" t="n">
        <v>1</v>
      </c>
      <c r="J63" s="36" t="n">
        <v>5</v>
      </c>
      <c r="K63" s="74">
        <f>IFERROR(I63/J63,0)</f>
        <v/>
      </c>
      <c r="L63" s="36" t="n">
        <v>226</v>
      </c>
      <c r="M63" s="36" t="n">
        <v>10168</v>
      </c>
      <c r="N63" s="36" t="n">
        <v>0</v>
      </c>
      <c r="O63" s="35" t="inlineStr">
        <is>
          <t>Image_Carrousel</t>
        </is>
      </c>
    </row>
    <row r="64" ht="13.5" customHeight="1" s="109">
      <c r="A64" s="72" t="inlineStr">
        <is>
          <t>https://www.instagram.com/p/DWGpJ70jFtX/</t>
        </is>
      </c>
      <c r="B64" s="72" t="inlineStr">
        <is>
          <t>Environnement &amp; Nature</t>
        </is>
      </c>
      <c r="C64" s="72" t="inlineStr">
        <is>
          <t>Climat / Ecologie</t>
        </is>
      </c>
      <c r="D64" s="73" t="n">
        <v>40</v>
      </c>
      <c r="E64" s="73" t="inlineStr">
        <is>
          <t>G</t>
        </is>
      </c>
      <c r="F64" s="72" t="inlineStr">
        <is>
          <t>Média de service public suisse, souvent perçu centriste/gauche.</t>
        </is>
      </c>
      <c r="G64" s="73" t="inlineStr">
        <is>
          <t>Non</t>
        </is>
      </c>
      <c r="H64" s="72" t="n"/>
      <c r="I64" s="73" t="n">
        <v>0</v>
      </c>
      <c r="J64" s="73" t="n">
        <v>6</v>
      </c>
      <c r="K64" s="74">
        <f>IFERROR(I64/J64,0)</f>
        <v/>
      </c>
      <c r="L64" s="73" t="n">
        <v>24</v>
      </c>
      <c r="M64" s="73" t="n">
        <v>5049</v>
      </c>
      <c r="N64" s="73" t="n">
        <v>0</v>
      </c>
      <c r="O64" s="72" t="inlineStr">
        <is>
          <t>Image_Carrousel</t>
        </is>
      </c>
    </row>
    <row r="65" ht="13.5" customHeight="1" s="109">
      <c r="A65" s="35" t="inlineStr">
        <is>
          <t>https://www.instagram.com/p/DWHIB1vDjeI/</t>
        </is>
      </c>
      <c r="B65" s="35" t="inlineStr">
        <is>
          <t>Securite &amp; Justice</t>
        </is>
      </c>
      <c r="C65" s="35" t="inlineStr">
        <is>
          <t>Justice</t>
        </is>
      </c>
      <c r="D65" s="36" t="n">
        <v>45</v>
      </c>
      <c r="E65" s="36" t="inlineStr">
        <is>
          <t>N</t>
        </is>
      </c>
      <c r="F65" s="35" t="inlineStr">
        <is>
          <t>RTS est un média de service public, rapportant des faits judiciaires.</t>
        </is>
      </c>
      <c r="G65" s="36" t="inlineStr">
        <is>
          <t>Non</t>
        </is>
      </c>
      <c r="H65" s="35" t="inlineStr">
        <is>
          <t>Aucun commentaire ne critique directement le média ou son traitement de l'information.</t>
        </is>
      </c>
      <c r="I65" s="36" t="n">
        <v>0</v>
      </c>
      <c r="J65" s="36" t="n">
        <v>7</v>
      </c>
      <c r="K65" s="74">
        <f>IFERROR(I65/J65,0)</f>
        <v/>
      </c>
      <c r="L65" s="36" t="n">
        <v>202</v>
      </c>
      <c r="M65" s="36" t="n">
        <v>5238</v>
      </c>
      <c r="N65" s="36" t="n">
        <v>0</v>
      </c>
      <c r="O65" s="35" t="inlineStr">
        <is>
          <t>Image_Carrousel</t>
        </is>
      </c>
    </row>
    <row r="66" ht="13.5" customHeight="1" s="109">
      <c r="A66" s="72" t="inlineStr">
        <is>
          <t>https://www.instagram.com/p/DWG3K0BkWs4/</t>
        </is>
      </c>
      <c r="B66" s="72" t="inlineStr">
        <is>
          <t>Securite &amp; Justice</t>
        </is>
      </c>
      <c r="C66" s="72" t="inlineStr">
        <is>
          <t>Ordre public</t>
        </is>
      </c>
      <c r="D66" s="73" t="n">
        <v>35</v>
      </c>
      <c r="E66" s="73" t="inlineStr">
        <is>
          <t>G</t>
        </is>
      </c>
      <c r="F66" s="72" t="inlineStr">
        <is>
          <t>Favorise dialogue et lien social face aux tensions avec les forces de l'ordre.</t>
        </is>
      </c>
      <c r="G66" s="73" t="inlineStr">
        <is>
          <t>Oui</t>
        </is>
      </c>
      <c r="H66" s="72" t="inlineStr">
        <is>
          <t>Un commentaire critique l'approche du média comme trop 'douce' face à la délinquance.</t>
        </is>
      </c>
      <c r="I66" s="73" t="n">
        <v>1</v>
      </c>
      <c r="J66" s="73" t="n">
        <v>4</v>
      </c>
      <c r="K66" s="74">
        <f>IFERROR(I66/J66,0)</f>
        <v/>
      </c>
      <c r="L66" s="73" t="n">
        <v>68</v>
      </c>
      <c r="M66" s="73" t="n">
        <v>3673</v>
      </c>
      <c r="N66" s="73" t="n">
        <v>54164</v>
      </c>
      <c r="O66" s="72" t="inlineStr">
        <is>
          <t>Video</t>
        </is>
      </c>
    </row>
    <row r="67" ht="13.5" customHeight="1" s="109">
      <c r="A67" s="35" t="inlineStr">
        <is>
          <t>https://www.instagram.com/p/DWHZMa4iKEm/</t>
        </is>
      </c>
      <c r="B67" s="35" t="inlineStr">
        <is>
          <t>Politique &amp; Institutions</t>
        </is>
      </c>
      <c r="C67" s="35" t="inlineStr">
        <is>
          <t>Vie politique CH</t>
        </is>
      </c>
      <c r="D67" s="36" t="n">
        <v>40</v>
      </c>
      <c r="E67" s="36" t="inlineStr">
        <is>
          <t>N</t>
        </is>
      </c>
      <c r="F67" s="35" t="inlineStr">
        <is>
          <t>RTS rapporte factuellement l'acquisition publique, soulignant le bénéfice collectif et le processus démocratique.</t>
        </is>
      </c>
      <c r="G67" s="36" t="inlineStr">
        <is>
          <t>Non</t>
        </is>
      </c>
      <c r="H67" s="35" t="n"/>
      <c r="I67" s="36" t="n">
        <v>0</v>
      </c>
      <c r="J67" s="36" t="n">
        <v>10</v>
      </c>
      <c r="K67" s="74">
        <f>IFERROR(I67/J67,0)</f>
        <v/>
      </c>
      <c r="L67" s="36" t="n">
        <v>22</v>
      </c>
      <c r="M67" s="36" t="n">
        <v>5924</v>
      </c>
      <c r="N67" s="36" t="n">
        <v>0</v>
      </c>
      <c r="O67" s="35" t="inlineStr">
        <is>
          <t>Image_Carrousel</t>
        </is>
      </c>
    </row>
    <row r="68" ht="13.5" customHeight="1" s="109">
      <c r="A68" s="72" t="inlineStr">
        <is>
          <t>https://www.instagram.com/p/DWGe1LMDByL/</t>
        </is>
      </c>
      <c r="B68" s="72" t="inlineStr">
        <is>
          <t>Politique &amp; Institutions</t>
        </is>
      </c>
      <c r="C68" s="72" t="inlineStr">
        <is>
          <t>Autorites</t>
        </is>
      </c>
      <c r="D68" s="73" t="n">
        <v>45</v>
      </c>
      <c r="E68" s="73" t="inlineStr">
        <is>
          <t>N</t>
        </is>
      </c>
      <c r="F68" s="72" t="inlineStr">
        <is>
          <t>RTS offre un reportage factuel, citant les deux côtés du débat législatif de Genève.</t>
        </is>
      </c>
      <c r="G68" s="73" t="inlineStr">
        <is>
          <t>Non</t>
        </is>
      </c>
      <c r="H68" s="72" t="inlineStr">
        <is>
          <t>Aucun commentaire d'utilisateur disponible pour l'analyse.</t>
        </is>
      </c>
      <c r="I68" s="73" t="n">
        <v>0</v>
      </c>
      <c r="J68" s="73" t="n">
        <v>0</v>
      </c>
      <c r="K68" s="74">
        <f>IFERROR(I68/J68,0)</f>
        <v/>
      </c>
      <c r="L68" s="73" t="n">
        <v>271</v>
      </c>
      <c r="M68" s="73" t="n">
        <v>11022</v>
      </c>
      <c r="N68" s="73" t="n">
        <v>0</v>
      </c>
      <c r="O68" s="72" t="inlineStr">
        <is>
          <t>Image_Carrousel</t>
        </is>
      </c>
    </row>
    <row r="69" ht="13.5" customHeight="1" s="109">
      <c r="A69" s="35" t="inlineStr">
        <is>
          <t>https://www.instagram.com/p/DWELOOZDToq/</t>
        </is>
      </c>
      <c r="B69" s="35" t="inlineStr">
        <is>
          <t>Economie &amp; Travail</t>
        </is>
      </c>
      <c r="C69" s="35" t="inlineStr">
        <is>
          <t>Marche du travail</t>
        </is>
      </c>
      <c r="D69" s="36" t="n">
        <v>50</v>
      </c>
      <c r="E69" s="36" t="inlineStr">
        <is>
          <t>N</t>
        </is>
      </c>
      <c r="F69" s="35" t="inlineStr">
        <is>
          <t>RTS via ATS reporte sur retards indemnités chômage; ton factuel et neutre.</t>
        </is>
      </c>
      <c r="G69" s="36" t="inlineStr">
        <is>
          <t>Non</t>
        </is>
      </c>
      <c r="H69" s="35" t="n"/>
      <c r="I69" s="36" t="n">
        <v>0</v>
      </c>
      <c r="J69" s="36" t="n">
        <v>5</v>
      </c>
      <c r="K69" s="74">
        <f>IFERROR(I69/J69,0)</f>
        <v/>
      </c>
      <c r="L69" s="36" t="n">
        <v>94</v>
      </c>
      <c r="M69" s="36" t="n">
        <v>4821</v>
      </c>
      <c r="N69" s="36" t="n">
        <v>0</v>
      </c>
      <c r="O69" s="35" t="inlineStr">
        <is>
          <t>Image_Carrousel</t>
        </is>
      </c>
    </row>
    <row r="70" ht="13.5" customHeight="1" s="109">
      <c r="A70" s="72" t="inlineStr">
        <is>
          <t>https://www.instagram.com/p/DWGNxyGCNTf/</t>
        </is>
      </c>
      <c r="B70" s="72" t="inlineStr">
        <is>
          <t>Societe &amp; Droits</t>
        </is>
      </c>
      <c r="C70" s="72" t="inlineStr">
        <is>
          <t>Faits de societe</t>
        </is>
      </c>
      <c r="D70" s="73" t="n">
        <v>40</v>
      </c>
      <c r="E70" s="73" t="inlineStr">
        <is>
          <t>N</t>
        </is>
      </c>
      <c r="F70" s="72" t="inlineStr">
        <is>
          <t>Soulève des questions éthiques sur la vie privée et le consentement face au big data.</t>
        </is>
      </c>
      <c r="G70" s="73" t="inlineStr">
        <is>
          <t>Non</t>
        </is>
      </c>
      <c r="H70" s="72" t="inlineStr">
        <is>
          <t>Aucun reproche direct sur le biais, le ton ou le sujet du média.</t>
        </is>
      </c>
      <c r="I70" s="73" t="n">
        <v>0</v>
      </c>
      <c r="J70" s="73" t="n">
        <v>8</v>
      </c>
      <c r="K70" s="74">
        <f>IFERROR(I70/J70,0)</f>
        <v/>
      </c>
      <c r="L70" s="73" t="n">
        <v>16</v>
      </c>
      <c r="M70" s="73" t="n">
        <v>1629</v>
      </c>
      <c r="N70" s="73" t="n">
        <v>0</v>
      </c>
      <c r="O70" s="72" t="inlineStr">
        <is>
          <t>Image_Carrousel</t>
        </is>
      </c>
    </row>
    <row r="71" ht="13.5" customHeight="1" s="109">
      <c r="A71" s="35" t="inlineStr">
        <is>
          <t>https://www.instagram.com/p/DWHSdBFES2W/</t>
        </is>
      </c>
      <c r="B71" s="35" t="inlineStr">
        <is>
          <t>Culture &amp; Loisirs</t>
        </is>
      </c>
      <c r="C71" s="35" t="inlineStr">
        <is>
          <t>Medias</t>
        </is>
      </c>
      <c r="D71" s="36" t="n">
        <v>50</v>
      </c>
      <c r="E71" s="36" t="inlineStr">
        <is>
          <t>N</t>
        </is>
      </c>
      <c r="F71" s="35" t="inlineStr">
        <is>
          <t>Rapport factuel sur l'échec d'un projet tech et le pivot stratégique de l'entreprise.</t>
        </is>
      </c>
      <c r="G71" s="36" t="inlineStr">
        <is>
          <t>Oui</t>
        </is>
      </c>
      <c r="H71" s="35" t="inlineStr">
        <is>
          <t>Un commentaire conteste l'usage du terme 'discrètement' par le média.</t>
        </is>
      </c>
      <c r="I71" s="36" t="n">
        <v>1</v>
      </c>
      <c r="J71" s="36" t="n">
        <v>8</v>
      </c>
      <c r="K71" s="74">
        <f>IFERROR(I71/J71,0)</f>
        <v/>
      </c>
      <c r="L71" s="36" t="n">
        <v>12</v>
      </c>
      <c r="M71" s="36" t="n">
        <v>762</v>
      </c>
      <c r="N71" s="36" t="n">
        <v>28449</v>
      </c>
      <c r="O71" s="35" t="inlineStr">
        <is>
          <t>Video</t>
        </is>
      </c>
    </row>
    <row r="72" ht="13.5" customHeight="1" s="109">
      <c r="A72" s="72" t="inlineStr">
        <is>
          <t>https://www.instagram.com/p/DWGv_efDVr5/</t>
        </is>
      </c>
      <c r="B72" s="72" t="inlineStr">
        <is>
          <t>Economie &amp; Travail</t>
        </is>
      </c>
      <c r="C72" s="72" t="inlineStr">
        <is>
          <t>Marche du travail</t>
        </is>
      </c>
      <c r="D72" s="73" t="n">
        <v>45</v>
      </c>
      <c r="E72" s="73" t="inlineStr">
        <is>
          <t>N</t>
        </is>
      </c>
      <c r="F72" s="72" t="inlineStr">
        <is>
          <t>RTS est un média de service public factuel, approchant la neutralité.</t>
        </is>
      </c>
      <c r="G72" s="73" t="inlineStr">
        <is>
          <t>Non</t>
        </is>
      </c>
      <c r="H72" s="72" t="n"/>
      <c r="I72" s="73" t="n">
        <v>0</v>
      </c>
      <c r="J72" s="73" t="n">
        <v>5</v>
      </c>
      <c r="K72" s="74">
        <f>IFERROR(I72/J72,0)</f>
        <v/>
      </c>
      <c r="L72" s="73" t="n">
        <v>36</v>
      </c>
      <c r="M72" s="73" t="n">
        <v>5237</v>
      </c>
      <c r="N72" s="73" t="n">
        <v>0</v>
      </c>
      <c r="O72" s="72" t="inlineStr">
        <is>
          <t>Image_Carrousel</t>
        </is>
      </c>
    </row>
    <row r="73" ht="13.5" customHeight="1" s="109">
      <c r="A73" s="35" t="inlineStr">
        <is>
          <t>https://www.instagram.com/p/DWESGCeCBLF/</t>
        </is>
      </c>
      <c r="B73" s="35" t="inlineStr">
        <is>
          <t>Societe &amp; Droits</t>
        </is>
      </c>
      <c r="C73" s="35" t="inlineStr">
        <is>
          <t>Faits de societe</t>
        </is>
      </c>
      <c r="D73" s="36" t="n">
        <v>45</v>
      </c>
      <c r="E73" s="36" t="inlineStr">
        <is>
          <t>N</t>
        </is>
      </c>
      <c r="F73" s="35" t="inlineStr">
        <is>
          <t>Service public, information factuelle et neutre.</t>
        </is>
      </c>
      <c r="G73" s="36" t="inlineStr">
        <is>
          <t>Non</t>
        </is>
      </c>
      <c r="H73" s="35" t="n"/>
      <c r="I73" s="36" t="n">
        <v>0</v>
      </c>
      <c r="J73" s="36" t="n">
        <v>8</v>
      </c>
      <c r="K73" s="74">
        <f>IFERROR(I73/J73,0)</f>
        <v/>
      </c>
      <c r="L73" s="36" t="n">
        <v>66</v>
      </c>
      <c r="M73" s="36" t="n">
        <v>22132</v>
      </c>
      <c r="N73" s="36" t="n">
        <v>0</v>
      </c>
      <c r="O73" s="35" t="inlineStr">
        <is>
          <t>Image_Carrousel</t>
        </is>
      </c>
    </row>
    <row r="74" ht="13.5" customHeight="1" s="109">
      <c r="A74" s="72" t="inlineStr">
        <is>
          <t>https://www.instagram.com/p/DWEEaCmiLZI/</t>
        </is>
      </c>
      <c r="B74" s="72" t="inlineStr">
        <is>
          <t>Culture &amp; Loisirs</t>
        </is>
      </c>
      <c r="C74" s="72" t="inlineStr">
        <is>
          <t>Arts</t>
        </is>
      </c>
      <c r="D74" s="73" t="n">
        <v>50</v>
      </c>
      <c r="E74" s="73" t="inlineStr">
        <is>
          <t>N</t>
        </is>
      </c>
      <c r="F74" s="72" t="inlineStr">
        <is>
          <t>RTS est un média de service public, rapport factuel et neutre sur la restitution.</t>
        </is>
      </c>
      <c r="G74" s="73" t="inlineStr">
        <is>
          <t>Oui</t>
        </is>
      </c>
      <c r="H74" s="72" t="inlineStr">
        <is>
          <t>Un commentaire questionne la pertinence ('Rapport?').</t>
        </is>
      </c>
      <c r="I74" s="73" t="n">
        <v>1</v>
      </c>
      <c r="J74" s="73" t="n">
        <v>3</v>
      </c>
      <c r="K74" s="74">
        <f>IFERROR(I74/J74,0)</f>
        <v/>
      </c>
      <c r="L74" s="73" t="n">
        <v>36</v>
      </c>
      <c r="M74" s="73" t="n">
        <v>4563</v>
      </c>
      <c r="N74" s="73" t="n">
        <v>0</v>
      </c>
      <c r="O74" s="72" t="inlineStr">
        <is>
          <t>Image_Carrousel</t>
        </is>
      </c>
    </row>
    <row r="75" ht="13.5" customHeight="1" s="109">
      <c r="A75" s="35" t="inlineStr">
        <is>
          <t>https://www.instagram.com/p/DWE0iu2DVdy/</t>
        </is>
      </c>
      <c r="B75" s="35" t="inlineStr">
        <is>
          <t>Securite &amp; Justice</t>
        </is>
      </c>
      <c r="C75" s="35" t="inlineStr">
        <is>
          <t>Justice</t>
        </is>
      </c>
      <c r="D75" s="36" t="n">
        <v>45</v>
      </c>
      <c r="E75" s="36" t="inlineStr">
        <is>
          <t>N</t>
        </is>
      </c>
      <c r="F75" s="35" t="inlineStr">
        <is>
          <t>Média public suisse, réputé factuel et équilibré dans son traitement de l'information.</t>
        </is>
      </c>
      <c r="G75" s="36" t="inlineStr">
        <is>
          <t>Non</t>
        </is>
      </c>
      <c r="H75" s="35" t="n"/>
      <c r="I75" s="36" t="n">
        <v>0</v>
      </c>
      <c r="J75" s="36" t="n">
        <v>1</v>
      </c>
      <c r="K75" s="74">
        <f>IFERROR(I75/J75,0)</f>
        <v/>
      </c>
      <c r="L75" s="36" t="n">
        <v>95</v>
      </c>
      <c r="M75" s="36" t="n">
        <v>2754</v>
      </c>
      <c r="N75" s="36" t="n">
        <v>0</v>
      </c>
      <c r="O75" s="35" t="inlineStr">
        <is>
          <t>Image_Carrousel</t>
        </is>
      </c>
    </row>
    <row r="76" ht="13.5" customHeight="1" s="109">
      <c r="A76" s="72" t="inlineStr">
        <is>
          <t>https://www.instagram.com/p/DWHLnXQCLOQ/</t>
        </is>
      </c>
      <c r="B76" s="72" t="inlineStr">
        <is>
          <t>Culture &amp; Loisirs</t>
        </is>
      </c>
      <c r="C76" s="72" t="inlineStr">
        <is>
          <t>Arts</t>
        </is>
      </c>
      <c r="D76" s="73" t="n">
        <v>50</v>
      </c>
      <c r="E76" s="73" t="inlineStr">
        <is>
          <t>N</t>
        </is>
      </c>
      <c r="F76" s="72" t="inlineStr">
        <is>
          <t>Média de service public, vise la neutralité et l'information factuelle.</t>
        </is>
      </c>
      <c r="G76" s="73" t="inlineStr">
        <is>
          <t>Non</t>
        </is>
      </c>
      <c r="H76" s="72" t="n"/>
      <c r="I76" s="73" t="n">
        <v>0</v>
      </c>
      <c r="J76" s="73" t="n">
        <v>11</v>
      </c>
      <c r="K76" s="74">
        <f>IFERROR(I76/J76,0)</f>
        <v/>
      </c>
      <c r="L76" s="73" t="n">
        <v>46</v>
      </c>
      <c r="M76" s="73" t="n">
        <v>4773</v>
      </c>
      <c r="N76" s="73" t="n">
        <v>44856</v>
      </c>
      <c r="O76" s="72" t="inlineStr">
        <is>
          <t>Video</t>
        </is>
      </c>
    </row>
    <row r="77" ht="13.5" customHeight="1" s="109">
      <c r="A77" s="35" t="inlineStr">
        <is>
          <t>https://www.instagram.com/p/DWEnDeyDIxn/</t>
        </is>
      </c>
      <c r="B77" s="35" t="inlineStr">
        <is>
          <t>Economie &amp; Travail</t>
        </is>
      </c>
      <c r="C77" s="35" t="inlineStr">
        <is>
          <t>Consommation</t>
        </is>
      </c>
      <c r="D77" s="36" t="n">
        <v>50</v>
      </c>
      <c r="E77" s="36" t="inlineStr">
        <is>
          <t>N</t>
        </is>
      </c>
      <c r="F77" s="35" t="inlineStr">
        <is>
          <t>RTS, média de service public avec des sujets diversifiés.</t>
        </is>
      </c>
      <c r="G77" s="36" t="inlineStr">
        <is>
          <t>Oui</t>
        </is>
      </c>
      <c r="H77" s="35" t="inlineStr">
        <is>
          <t>Critique de l'exactitude des informations sur la taxe de séjour.</t>
        </is>
      </c>
      <c r="I77" s="36" t="n">
        <v>1</v>
      </c>
      <c r="J77" s="36" t="n">
        <v>8</v>
      </c>
      <c r="K77" s="74">
        <f>IFERROR(I77/J77,0)</f>
        <v/>
      </c>
      <c r="L77" s="36" t="n">
        <v>58</v>
      </c>
      <c r="M77" s="36" t="n">
        <v>2573</v>
      </c>
      <c r="N77" s="36" t="n">
        <v>0</v>
      </c>
      <c r="O77" s="35" t="inlineStr">
        <is>
          <t>Image_Carrousel</t>
        </is>
      </c>
    </row>
    <row r="78" ht="13.5" customHeight="1" s="109">
      <c r="A78" s="72" t="inlineStr">
        <is>
          <t>https://www.instagram.com/p/DWE7Sf-DdHC/</t>
        </is>
      </c>
      <c r="B78" s="72" t="inlineStr">
        <is>
          <t>Sante</t>
        </is>
      </c>
      <c r="C78" s="72" t="inlineStr">
        <is>
          <t>Sante publique</t>
        </is>
      </c>
      <c r="D78" s="73" t="n">
        <v>35</v>
      </c>
      <c r="E78" s="73" t="inlineStr">
        <is>
          <t>G</t>
        </is>
      </c>
      <c r="F78" s="72" t="inlineStr">
        <is>
          <t>Média de service public soulignant un enjeu social et appelant à l'aide étatique pour les jeunes aidants.</t>
        </is>
      </c>
      <c r="G78" s="73" t="inlineStr">
        <is>
          <t>Non</t>
        </is>
      </c>
      <c r="H78" s="72" t="n"/>
      <c r="I78" s="73" t="n">
        <v>0</v>
      </c>
      <c r="J78" s="73" t="n">
        <v>7</v>
      </c>
      <c r="K78" s="74">
        <f>IFERROR(I78/J78,0)</f>
        <v/>
      </c>
      <c r="L78" s="73" t="n">
        <v>36</v>
      </c>
      <c r="M78" s="73" t="n">
        <v>7460</v>
      </c>
      <c r="N78" s="73" t="n">
        <v>0</v>
      </c>
      <c r="O78" s="72" t="inlineStr">
        <is>
          <t>Image_Carrousel</t>
        </is>
      </c>
    </row>
    <row r="79" ht="13.5" customHeight="1" s="109">
      <c r="A79" s="35" t="inlineStr">
        <is>
          <t>https://www.instagram.com/p/DWGG7EBidBe/</t>
        </is>
      </c>
      <c r="B79" s="35" t="inlineStr">
        <is>
          <t>Economie &amp; Travail</t>
        </is>
      </c>
      <c r="C79" s="35" t="inlineStr">
        <is>
          <t>Consommation</t>
        </is>
      </c>
      <c r="D79" s="36" t="n">
        <v>50</v>
      </c>
      <c r="E79" s="36" t="inlineStr">
        <is>
          <t>N</t>
        </is>
      </c>
      <c r="F79" s="35" t="inlineStr">
        <is>
          <t>Article factuel et neutre sur un projet économique et culturel.</t>
        </is>
      </c>
      <c r="G79" s="36" t="inlineStr">
        <is>
          <t>Non</t>
        </is>
      </c>
      <c r="H79" s="35" t="n"/>
      <c r="I79" s="36" t="n">
        <v>0</v>
      </c>
      <c r="J79" s="36" t="n">
        <v>3</v>
      </c>
      <c r="K79" s="74">
        <f>IFERROR(I79/J79,0)</f>
        <v/>
      </c>
      <c r="L79" s="36" t="n">
        <v>24</v>
      </c>
      <c r="M79" s="36" t="n">
        <v>8028</v>
      </c>
      <c r="N79" s="36" t="n">
        <v>0</v>
      </c>
      <c r="O79" s="35" t="inlineStr">
        <is>
          <t>Image_Carrousel</t>
        </is>
      </c>
    </row>
    <row r="80" ht="13.5" customHeight="1" s="109">
      <c r="A80" s="72" t="inlineStr">
        <is>
          <t>https://www.instagram.com/p/DWD6CFIAu__/</t>
        </is>
      </c>
      <c r="B80" s="72" t="inlineStr">
        <is>
          <t>Politique &amp; Institutions</t>
        </is>
      </c>
      <c r="C80" s="72" t="inlineStr">
        <is>
          <t>Vie politique CH</t>
        </is>
      </c>
      <c r="D80" s="73" t="n">
        <v>60</v>
      </c>
      <c r="E80" s="73" t="inlineStr">
        <is>
          <t>N</t>
        </is>
      </c>
      <c r="F80" s="72" t="inlineStr">
        <is>
          <t>Se concentre sur la perturbation institutionnelle et les méthodes utilisées par les activistes.</t>
        </is>
      </c>
      <c r="G80" s="73" t="inlineStr">
        <is>
          <t>Oui</t>
        </is>
      </c>
      <c r="H80" s="72" t="inlineStr">
        <is>
          <t>Questionne le cadrage du média sur les échanges constructifs.</t>
        </is>
      </c>
      <c r="I80" s="73" t="n">
        <v>1</v>
      </c>
      <c r="J80" s="73" t="n">
        <v>3</v>
      </c>
      <c r="K80" s="74">
        <f>IFERROR(I80/J80,0)</f>
        <v/>
      </c>
      <c r="L80" s="73" t="n">
        <v>72</v>
      </c>
      <c r="M80" s="73" t="n">
        <v>1949</v>
      </c>
      <c r="N80" s="73" t="n">
        <v>0</v>
      </c>
      <c r="O80" s="72" t="inlineStr">
        <is>
          <t>Image_Carrousel</t>
        </is>
      </c>
    </row>
    <row r="81" ht="13.5" customHeight="1" s="109">
      <c r="A81" s="35" t="inlineStr">
        <is>
          <t>https://www.instagram.com/p/DWE9joBDbbK/</t>
        </is>
      </c>
      <c r="B81" s="35" t="inlineStr">
        <is>
          <t>Societe &amp; Droits</t>
        </is>
      </c>
      <c r="C81" s="35" t="inlineStr">
        <is>
          <t>Faits de societe</t>
        </is>
      </c>
      <c r="D81" s="36" t="n">
        <v>50</v>
      </c>
      <c r="E81" s="36" t="inlineStr">
        <is>
          <t>N</t>
        </is>
      </c>
      <c r="F81" s="35" t="inlineStr">
        <is>
          <t>L'article de RTS rapporte des faits sur un accident mortel de manière objective et neutre.</t>
        </is>
      </c>
      <c r="G81" s="36" t="inlineStr">
        <is>
          <t>Non</t>
        </is>
      </c>
      <c r="H81" s="35" t="inlineStr">
        <is>
          <t>Aucune critique du media.</t>
        </is>
      </c>
      <c r="I81" s="36" t="n">
        <v>0</v>
      </c>
      <c r="J81" s="36" t="n">
        <v>6</v>
      </c>
      <c r="K81" s="74">
        <f>IFERROR(I81/J81,0)</f>
        <v/>
      </c>
      <c r="L81" s="36" t="n">
        <v>17</v>
      </c>
      <c r="M81" s="36" t="n">
        <v>3588</v>
      </c>
      <c r="N81" s="36" t="n">
        <v>0</v>
      </c>
      <c r="O81" s="35" t="inlineStr">
        <is>
          <t>Image_Carrousel</t>
        </is>
      </c>
    </row>
    <row r="82" ht="13.5" customHeight="1" s="109">
      <c r="A82" s="72" t="inlineStr">
        <is>
          <t>https://www.instagram.com/p/DWBfidDjJW8/</t>
        </is>
      </c>
      <c r="B82" s="72" t="inlineStr">
        <is>
          <t>Economie &amp; Travail</t>
        </is>
      </c>
      <c r="C82" s="72" t="inlineStr">
        <is>
          <t>Consommation</t>
        </is>
      </c>
      <c r="D82" s="73" t="n">
        <v>50</v>
      </c>
      <c r="E82" s="73" t="inlineStr">
        <is>
          <t>N</t>
        </is>
      </c>
      <c r="F82" s="72" t="inlineStr">
        <is>
          <t>RTS est un média de service public, l'article est factuel et sans biais apparent.</t>
        </is>
      </c>
      <c r="G82" s="73" t="inlineStr">
        <is>
          <t>Non</t>
        </is>
      </c>
      <c r="H82" s="72" t="n"/>
      <c r="I82" s="73" t="n">
        <v>0</v>
      </c>
      <c r="J82" s="73" t="n">
        <v>7</v>
      </c>
      <c r="K82" s="74">
        <f>IFERROR(I82/J82,0)</f>
        <v/>
      </c>
      <c r="L82" s="73" t="n">
        <v>17</v>
      </c>
      <c r="M82" s="73" t="n">
        <v>8306</v>
      </c>
      <c r="N82" s="73" t="n">
        <v>0</v>
      </c>
      <c r="O82" s="72" t="inlineStr">
        <is>
          <t>Image_Carrousel</t>
        </is>
      </c>
    </row>
    <row r="83" ht="13.5" customHeight="1" s="109">
      <c r="A83" s="35" t="inlineStr">
        <is>
          <t>https://www.instagram.com/p/DWCI2ffgYYB/</t>
        </is>
      </c>
      <c r="B83" s="35" t="inlineStr">
        <is>
          <t>Sante</t>
        </is>
      </c>
      <c r="C83" s="35" t="inlineStr">
        <is>
          <t>Sante publique</t>
        </is>
      </c>
      <c r="D83" s="36" t="n">
        <v>40</v>
      </c>
      <c r="E83" s="36" t="inlineStr">
        <is>
          <t>G</t>
        </is>
      </c>
      <c r="F83" s="35" t="inlineStr">
        <is>
          <t>RTS est un media de service public, neutre avec une légère tendance gauche en Suisse.</t>
        </is>
      </c>
      <c r="G83" s="36" t="inlineStr">
        <is>
          <t>Oui</t>
        </is>
      </c>
      <c r="H83" s="35" t="inlineStr">
        <is>
          <t>L'audience exprime scepticisme vaccinal et théories du complot.</t>
        </is>
      </c>
      <c r="I83" s="36" t="n">
        <v>3</v>
      </c>
      <c r="J83" s="36" t="n">
        <v>5</v>
      </c>
      <c r="K83" s="74">
        <f>IFERROR(I83/J83,0)</f>
        <v/>
      </c>
      <c r="L83" s="36" t="n">
        <v>75</v>
      </c>
      <c r="M83" s="36" t="n">
        <v>3470</v>
      </c>
      <c r="N83" s="36" t="n">
        <v>109037</v>
      </c>
      <c r="O83" s="35" t="inlineStr">
        <is>
          <t>Video</t>
        </is>
      </c>
    </row>
    <row r="84" ht="13.5" customHeight="1" s="109">
      <c r="A84" s="72" t="inlineStr">
        <is>
          <t>https://www.instagram.com/p/DWBtRy3jRAR/</t>
        </is>
      </c>
      <c r="B84" s="72" t="inlineStr">
        <is>
          <t>Politique &amp; Institutions</t>
        </is>
      </c>
      <c r="C84" s="72" t="inlineStr">
        <is>
          <t>Autorites</t>
        </is>
      </c>
      <c r="D84" s="73" t="n">
        <v>40</v>
      </c>
      <c r="E84" s="73" t="inlineStr">
        <is>
          <t>G</t>
        </is>
      </c>
      <c r="F84" s="72" t="inlineStr">
        <is>
          <t>Média public avec une enquête critique sur les autorités et la sécurité alimentaire.</t>
        </is>
      </c>
      <c r="G84" s="73" t="inlineStr">
        <is>
          <t>Non</t>
        </is>
      </c>
      <c r="H84" s="72" t="inlineStr">
        <is>
          <t>Aucune critique des médias par les commentaires fournis.</t>
        </is>
      </c>
      <c r="I84" s="73" t="n">
        <v>0</v>
      </c>
      <c r="J84" s="73" t="n">
        <v>9</v>
      </c>
      <c r="K84" s="74">
        <f>IFERROR(I84/J84,0)</f>
        <v/>
      </c>
      <c r="L84" s="73" t="n">
        <v>31</v>
      </c>
      <c r="M84" s="73" t="n">
        <v>1443</v>
      </c>
      <c r="N84" s="73" t="n">
        <v>0</v>
      </c>
      <c r="O84" s="72" t="inlineStr">
        <is>
          <t>Image_Carrousel</t>
        </is>
      </c>
    </row>
    <row r="85" ht="13.5" customHeight="1" s="109">
      <c r="A85" s="35" t="inlineStr">
        <is>
          <t>https://www.instagram.com/p/DWDo32qj-L4/</t>
        </is>
      </c>
      <c r="B85" s="35" t="inlineStr">
        <is>
          <t>Societe &amp; Droits</t>
        </is>
      </c>
      <c r="C85" s="35" t="inlineStr">
        <is>
          <t>Faits de societe</t>
        </is>
      </c>
      <c r="D85" s="36" t="n">
        <v>50</v>
      </c>
      <c r="E85" s="36" t="inlineStr">
        <is>
          <t>N</t>
        </is>
      </c>
      <c r="F85" s="35" t="inlineStr">
        <is>
          <t>Média de service public, informe sur un fait divers avec un angle humain et systémique.</t>
        </is>
      </c>
      <c r="G85" s="36" t="inlineStr">
        <is>
          <t>Non</t>
        </is>
      </c>
      <c r="H85" s="35" t="n"/>
      <c r="I85" s="36" t="n">
        <v>0</v>
      </c>
      <c r="J85" s="36" t="n">
        <v>10</v>
      </c>
      <c r="K85" s="74">
        <f>IFERROR(I85/J85,0)</f>
        <v/>
      </c>
      <c r="L85" s="36" t="n">
        <v>29</v>
      </c>
      <c r="M85" s="36" t="n">
        <v>3422</v>
      </c>
      <c r="N85" s="36" t="n">
        <v>0</v>
      </c>
      <c r="O85" s="35" t="inlineStr">
        <is>
          <t>Image_Carrousel</t>
        </is>
      </c>
    </row>
    <row r="86" ht="13.5" customHeight="1" s="109">
      <c r="A86" s="72" t="inlineStr">
        <is>
          <t>https://www.instagram.com/p/DWEtvTaEgia/</t>
        </is>
      </c>
      <c r="B86" s="72" t="inlineStr">
        <is>
          <t>Securite &amp; Justice</t>
        </is>
      </c>
      <c r="C86" s="72" t="inlineStr">
        <is>
          <t>Ordre public</t>
        </is>
      </c>
      <c r="D86" s="73" t="n">
        <v>45</v>
      </c>
      <c r="E86" s="73" t="inlineStr">
        <is>
          <t>N</t>
        </is>
      </c>
      <c r="F86" s="72" t="inlineStr">
        <is>
          <t>RTS, service public, généralement perçu centriste/légèrement gauche en CH.</t>
        </is>
      </c>
      <c r="G86" s="73" t="inlineStr">
        <is>
          <t>Oui</t>
        </is>
      </c>
      <c r="H86" s="72" t="inlineStr">
        <is>
          <t>Critique la diffusion d'une vidéo jugée insoutenable/irrespectueuse pour la famille.</t>
        </is>
      </c>
      <c r="I86" s="73" t="n">
        <v>2</v>
      </c>
      <c r="J86" s="73" t="n">
        <v>7</v>
      </c>
      <c r="K86" s="74">
        <f>IFERROR(I86/J86,0)</f>
        <v/>
      </c>
      <c r="L86" s="73" t="n">
        <v>44</v>
      </c>
      <c r="M86" s="73" t="n">
        <v>6270</v>
      </c>
      <c r="N86" s="73" t="n">
        <v>173343</v>
      </c>
      <c r="O86" s="72" t="inlineStr">
        <is>
          <t>Video</t>
        </is>
      </c>
    </row>
    <row r="87" ht="13.5" customHeight="1" s="109">
      <c r="A87" s="35" t="inlineStr">
        <is>
          <t>https://www.instagram.com/p/DWCCPOfDIRy/</t>
        </is>
      </c>
      <c r="B87" s="35" t="inlineStr">
        <is>
          <t>Societe &amp; Droits</t>
        </is>
      </c>
      <c r="C87" s="35" t="inlineStr">
        <is>
          <t>Faits de societe</t>
        </is>
      </c>
      <c r="D87" s="36" t="n">
        <v>40</v>
      </c>
      <c r="E87" s="36" t="inlineStr">
        <is>
          <t>N</t>
        </is>
      </c>
      <c r="F87" s="35" t="inlineStr">
        <is>
          <t>Média public suisse, couvre sujets modernes/controversés, visant l'engagement du jeune public.</t>
        </is>
      </c>
      <c r="G87" s="36" t="inlineStr">
        <is>
          <t>Non</t>
        </is>
      </c>
      <c r="H87" s="35" t="n"/>
      <c r="I87" s="36" t="n">
        <v>0</v>
      </c>
      <c r="J87" s="36" t="n">
        <v>7</v>
      </c>
      <c r="K87" s="74">
        <f>IFERROR(I87/J87,0)</f>
        <v/>
      </c>
      <c r="L87" s="36" t="n">
        <v>47</v>
      </c>
      <c r="M87" s="36" t="n">
        <v>2598</v>
      </c>
      <c r="N87" s="36" t="n">
        <v>0</v>
      </c>
      <c r="O87" s="35" t="inlineStr">
        <is>
          <t>Image_Carrousel</t>
        </is>
      </c>
    </row>
    <row r="88" ht="13.5" customHeight="1" s="109">
      <c r="A88" s="72" t="inlineStr">
        <is>
          <t>https://www.instagram.com/p/DWCWfVQiEBf/</t>
        </is>
      </c>
      <c r="B88" s="72" t="inlineStr">
        <is>
          <t>International</t>
        </is>
      </c>
      <c r="C88" s="72" t="inlineStr">
        <is>
          <t>Conflits</t>
        </is>
      </c>
      <c r="D88" s="73" t="n">
        <v>35</v>
      </c>
      <c r="E88" s="73" t="inlineStr">
        <is>
          <t>G</t>
        </is>
      </c>
      <c r="F88" s="72" t="inlineStr">
        <is>
          <t>Critique la justif guerre Trump, valorise voix dissidente et démocrates.</t>
        </is>
      </c>
      <c r="G88" s="73" t="inlineStr">
        <is>
          <t>Oui</t>
        </is>
      </c>
      <c r="H88" s="72" t="inlineStr">
        <is>
          <t>Le média décrédibilise le propos de Kent en évoquant son passé.</t>
        </is>
      </c>
      <c r="I88" s="73" t="n">
        <v>1</v>
      </c>
      <c r="J88" s="73" t="n">
        <v>4</v>
      </c>
      <c r="K88" s="74">
        <f>IFERROR(I88/J88,0)</f>
        <v/>
      </c>
      <c r="L88" s="73" t="n">
        <v>65</v>
      </c>
      <c r="M88" s="73" t="n">
        <v>4178</v>
      </c>
      <c r="N88" s="73" t="n">
        <v>0</v>
      </c>
      <c r="O88" s="72" t="inlineStr">
        <is>
          <t>Image_Carrousel</t>
        </is>
      </c>
    </row>
    <row r="89" ht="13.5" customHeight="1" s="109">
      <c r="A89" s="35" t="inlineStr">
        <is>
          <t>https://www.instagram.com/p/DWA3AAqgrPG/</t>
        </is>
      </c>
      <c r="B89" s="35" t="inlineStr">
        <is>
          <t>Culture &amp; Loisirs</t>
        </is>
      </c>
      <c r="C89" s="35" t="inlineStr">
        <is>
          <t>Sport</t>
        </is>
      </c>
      <c r="D89" s="36" t="n">
        <v>50</v>
      </c>
      <c r="E89" s="36" t="inlineStr">
        <is>
          <t>N</t>
        </is>
      </c>
      <c r="F89" s="35" t="inlineStr">
        <is>
          <t>RTS rapporte factuellement la décision de la CAF et les réactions des parties impliquées.</t>
        </is>
      </c>
      <c r="G89" s="36" t="inlineStr">
        <is>
          <t>Non</t>
        </is>
      </c>
      <c r="H89" s="35" t="n"/>
      <c r="I89" s="36" t="n">
        <v>0</v>
      </c>
      <c r="J89" s="36" t="n">
        <v>8</v>
      </c>
      <c r="K89" s="74">
        <f>IFERROR(I89/J89,0)</f>
        <v/>
      </c>
      <c r="L89" s="36" t="n">
        <v>336</v>
      </c>
      <c r="M89" s="36" t="n">
        <v>3279</v>
      </c>
      <c r="N89" s="36" t="n">
        <v>0</v>
      </c>
      <c r="O89" s="35" t="inlineStr">
        <is>
          <t>Image_Carrousel</t>
        </is>
      </c>
    </row>
    <row r="90" ht="13.5" customHeight="1" s="109">
      <c r="A90" s="72" t="inlineStr">
        <is>
          <t>https://www.instagram.com/p/DWGAEDdAd1y/</t>
        </is>
      </c>
      <c r="B90" s="72" t="inlineStr">
        <is>
          <t>Societe &amp; Droits</t>
        </is>
      </c>
      <c r="C90" s="72" t="inlineStr">
        <is>
          <t>Faits de societe</t>
        </is>
      </c>
      <c r="D90" s="73" t="n">
        <v>50</v>
      </c>
      <c r="E90" s="73" t="inlineStr">
        <is>
          <t>N</t>
        </is>
      </c>
      <c r="F90" s="72" t="inlineStr">
        <is>
          <t>RTS est un média de service public, reconnu pour sa neutralité en Suisse.</t>
        </is>
      </c>
      <c r="G90" s="73" t="inlineStr">
        <is>
          <t>Non</t>
        </is>
      </c>
      <c r="H90" s="72" t="n"/>
      <c r="I90" s="73" t="n">
        <v>0</v>
      </c>
      <c r="J90" s="73" t="n">
        <v>3</v>
      </c>
      <c r="K90" s="74">
        <f>IFERROR(I90/J90,0)</f>
        <v/>
      </c>
      <c r="L90" s="73" t="n">
        <v>3</v>
      </c>
      <c r="M90" s="73" t="n">
        <v>2295</v>
      </c>
      <c r="N90" s="73" t="n">
        <v>28258</v>
      </c>
      <c r="O90" s="72" t="inlineStr">
        <is>
          <t>Video</t>
        </is>
      </c>
    </row>
    <row r="91" ht="13.5" customHeight="1" s="109">
      <c r="A91" s="35" t="inlineStr">
        <is>
          <t>https://www.instagram.com/p/DWDbQ6ngaZD/</t>
        </is>
      </c>
      <c r="B91" s="35" t="inlineStr">
        <is>
          <t>Securite &amp; Justice</t>
        </is>
      </c>
      <c r="C91" s="35" t="inlineStr">
        <is>
          <t>Activites de Police</t>
        </is>
      </c>
      <c r="D91" s="36" t="n">
        <v>45</v>
      </c>
      <c r="E91" s="36" t="inlineStr">
        <is>
          <t>N</t>
        </is>
      </c>
      <c r="F91" s="35" t="inlineStr">
        <is>
          <t>RTS, média public, rapporte des statistiques de sécurité routière sans parti pris.</t>
        </is>
      </c>
      <c r="G91" s="36" t="inlineStr">
        <is>
          <t>Non</t>
        </is>
      </c>
      <c r="H91" s="35" t="n"/>
      <c r="I91" s="36" t="n">
        <v>0</v>
      </c>
      <c r="J91" s="36" t="n">
        <v>5</v>
      </c>
      <c r="K91" s="74">
        <f>IFERROR(I91/J91,0)</f>
        <v/>
      </c>
      <c r="L91" s="36" t="n">
        <v>33</v>
      </c>
      <c r="M91" s="36" t="n">
        <v>3785</v>
      </c>
      <c r="N91" s="36" t="n">
        <v>49398</v>
      </c>
      <c r="O91" s="35" t="inlineStr">
        <is>
          <t>Video</t>
        </is>
      </c>
    </row>
    <row r="92" ht="13.5" customHeight="1" s="109">
      <c r="A92" s="72" t="inlineStr">
        <is>
          <t>https://www.instagram.com/p/DWBmY_uGa6M/</t>
        </is>
      </c>
      <c r="B92" s="72" t="inlineStr">
        <is>
          <t>Societe &amp; Droits</t>
        </is>
      </c>
      <c r="C92" s="72" t="inlineStr">
        <is>
          <t>Education</t>
        </is>
      </c>
      <c r="D92" s="73" t="n">
        <v>50</v>
      </c>
      <c r="E92" s="73" t="inlineStr">
        <is>
          <t>N</t>
        </is>
      </c>
      <c r="F92" s="72" t="inlineStr">
        <is>
          <t>RTSinfo présente les faits et les positions politiques de manière neutre.</t>
        </is>
      </c>
      <c r="G92" s="73" t="inlineStr">
        <is>
          <t>Non</t>
        </is>
      </c>
      <c r="H92" s="72" t="inlineStr">
        <is>
          <t>Aucun commentaire ne critique le média lui-même.</t>
        </is>
      </c>
      <c r="I92" s="73" t="n">
        <v>0</v>
      </c>
      <c r="J92" s="73" t="n">
        <v>3</v>
      </c>
      <c r="K92" s="74">
        <f>IFERROR(I92/J92,0)</f>
        <v/>
      </c>
      <c r="L92" s="73" t="n">
        <v>57</v>
      </c>
      <c r="M92" s="73" t="n">
        <v>3670</v>
      </c>
      <c r="N92" s="73" t="n">
        <v>0</v>
      </c>
      <c r="O92" s="72" t="inlineStr">
        <is>
          <t>Image_Carrousel</t>
        </is>
      </c>
    </row>
    <row r="93" ht="13.5" customHeight="1" s="109">
      <c r="A93" s="35" t="inlineStr">
        <is>
          <t>https://www.instagram.com/p/DWCIIrLCnH1/</t>
        </is>
      </c>
      <c r="B93" s="35" t="inlineStr">
        <is>
          <t>Societe &amp; Droits</t>
        </is>
      </c>
      <c r="C93" s="35" t="inlineStr">
        <is>
          <t>Questions de Genre</t>
        </is>
      </c>
      <c r="D93" s="36" t="n">
        <v>50</v>
      </c>
      <c r="E93" s="36" t="inlineStr">
        <is>
          <t>N</t>
        </is>
      </c>
      <c r="F93" s="35" t="inlineStr">
        <is>
          <t>RTS rapporte les faits de manière neutre, présentant les accusations et le déni de l'accusé.</t>
        </is>
      </c>
      <c r="G93" s="36" t="inlineStr">
        <is>
          <t>Oui</t>
        </is>
      </c>
      <c r="H93" s="35" t="inlineStr">
        <is>
          <t>Critique de Mediapart: timing, véracité des faits, rumeur.</t>
        </is>
      </c>
      <c r="I93" s="36" t="n">
        <v>1</v>
      </c>
      <c r="J93" s="36" t="n">
        <v>6</v>
      </c>
      <c r="K93" s="74">
        <f>IFERROR(I93/J93,0)</f>
        <v/>
      </c>
      <c r="L93" s="36" t="n">
        <v>259</v>
      </c>
      <c r="M93" s="36" t="n">
        <v>4307</v>
      </c>
      <c r="N93" s="36" t="n">
        <v>0</v>
      </c>
      <c r="O93" s="35" t="inlineStr">
        <is>
          <t>Image_Carrousel</t>
        </is>
      </c>
    </row>
    <row r="94" ht="13.5" customHeight="1" s="109">
      <c r="A94" s="72" t="inlineStr">
        <is>
          <t>https://www.instagram.com/p/DWB4jEsgEYQ/</t>
        </is>
      </c>
      <c r="B94" s="72" t="inlineStr">
        <is>
          <t>Societe &amp; Droits</t>
        </is>
      </c>
      <c r="C94" s="72" t="inlineStr">
        <is>
          <t>Faits de societe</t>
        </is>
      </c>
      <c r="D94" s="73" t="n">
        <v>45</v>
      </c>
      <c r="E94" s="73" t="inlineStr">
        <is>
          <t>N</t>
        </is>
      </c>
      <c r="F94" s="72" t="inlineStr">
        <is>
          <t>Média de service public suisse, vise la neutralité dans son traitement de l'information.</t>
        </is>
      </c>
      <c r="G94" s="73" t="inlineStr">
        <is>
          <t>Non</t>
        </is>
      </c>
      <c r="H94" s="72" t="inlineStr">
        <is>
          <t>Aucune critique du ton ou du contenu du media.</t>
        </is>
      </c>
      <c r="I94" s="73" t="n">
        <v>0</v>
      </c>
      <c r="J94" s="73" t="n">
        <v>8</v>
      </c>
      <c r="K94" s="74">
        <f>IFERROR(I94/J94,0)</f>
        <v/>
      </c>
      <c r="L94" s="73" t="n">
        <v>191</v>
      </c>
      <c r="M94" s="73" t="n">
        <v>13676</v>
      </c>
      <c r="N94" s="73" t="n">
        <v>0</v>
      </c>
      <c r="O94" s="72" t="inlineStr">
        <is>
          <t>Image_Carrousel</t>
        </is>
      </c>
    </row>
    <row r="95" ht="13.5" customHeight="1" s="109">
      <c r="A95" s="35" t="inlineStr">
        <is>
          <t>https://www.instagram.com/p/DWA2glhAlWE/</t>
        </is>
      </c>
      <c r="B95" s="35" t="inlineStr">
        <is>
          <t>Economie &amp; Travail</t>
        </is>
      </c>
      <c r="C95" s="35" t="inlineStr">
        <is>
          <t>Consommation</t>
        </is>
      </c>
      <c r="D95" s="36" t="n">
        <v>45</v>
      </c>
      <c r="E95" s="36" t="inlineStr">
        <is>
          <t>N</t>
        </is>
      </c>
      <c r="F95" s="35" t="inlineStr">
        <is>
          <t>Média public, met en lumière enjeux économiques locaux et culturels.</t>
        </is>
      </c>
      <c r="G95" s="36" t="inlineStr">
        <is>
          <t>Non</t>
        </is>
      </c>
      <c r="H95" s="35" t="n"/>
      <c r="I95" s="36" t="n">
        <v>0</v>
      </c>
      <c r="J95" s="36" t="n">
        <v>9</v>
      </c>
      <c r="K95" s="74">
        <f>IFERROR(I95/J95,0)</f>
        <v/>
      </c>
      <c r="L95" s="36" t="n">
        <v>23</v>
      </c>
      <c r="M95" s="36" t="n">
        <v>4420</v>
      </c>
      <c r="N95" s="36" t="n">
        <v>61854</v>
      </c>
      <c r="O95" s="35" t="inlineStr">
        <is>
          <t>Video</t>
        </is>
      </c>
    </row>
    <row r="96" ht="13.5" customHeight="1" s="109">
      <c r="A96" s="72" t="inlineStr">
        <is>
          <t>https://www.instagram.com/p/DWCPr1DDXQ_/</t>
        </is>
      </c>
      <c r="B96" s="72" t="inlineStr">
        <is>
          <t>Sante</t>
        </is>
      </c>
      <c r="C96" s="72" t="inlineStr">
        <is>
          <t>Sante publique</t>
        </is>
      </c>
      <c r="D96" s="73" t="n">
        <v>45</v>
      </c>
      <c r="E96" s="73" t="inlineStr">
        <is>
          <t>N</t>
        </is>
      </c>
      <c r="F96" s="72" t="inlineStr">
        <is>
          <t>Média public traitant d'un problème social et ses conséquences sur le personnel.</t>
        </is>
      </c>
      <c r="G96" s="73" t="inlineStr">
        <is>
          <t>Non</t>
        </is>
      </c>
      <c r="H96" s="72" t="n"/>
      <c r="I96" s="73" t="n">
        <v>0</v>
      </c>
      <c r="J96" s="73" t="n">
        <v>5</v>
      </c>
      <c r="K96" s="74">
        <f>IFERROR(I96/J96,0)</f>
        <v/>
      </c>
      <c r="L96" s="73" t="n">
        <v>45</v>
      </c>
      <c r="M96" s="73" t="n">
        <v>2409</v>
      </c>
      <c r="N96" s="73" t="n">
        <v>0</v>
      </c>
      <c r="O96" s="72" t="inlineStr">
        <is>
          <t>Image_Carrousel</t>
        </is>
      </c>
    </row>
    <row r="97" ht="13.5" customHeight="1" s="109">
      <c r="A97" s="35" t="inlineStr">
        <is>
          <t>https://www.instagram.com/p/DV_kFCQgorq/</t>
        </is>
      </c>
      <c r="B97" s="35" t="inlineStr">
        <is>
          <t>Culture &amp; Loisirs</t>
        </is>
      </c>
      <c r="C97" s="35" t="inlineStr">
        <is>
          <t>Arts</t>
        </is>
      </c>
      <c r="D97" s="36" t="n">
        <v>55</v>
      </c>
      <c r="E97" s="36" t="inlineStr">
        <is>
          <t>N</t>
        </is>
      </c>
      <c r="F97" s="35" t="inlineStr">
        <is>
          <t>RTS relaie enquête Reuters, présentant faits et justification d'intérêt public malgré opposition.</t>
        </is>
      </c>
      <c r="G97" s="36" t="inlineStr">
        <is>
          <t>Oui</t>
        </is>
      </c>
      <c r="H97" s="35" t="inlineStr">
        <is>
          <t>Non-respect anonymat, choix sujet jugé inquisiteur, mise en danger.</t>
        </is>
      </c>
      <c r="I97" s="36" t="n">
        <v>6</v>
      </c>
      <c r="J97" s="36" t="n">
        <v>9</v>
      </c>
      <c r="K97" s="74">
        <f>IFERROR(I97/J97,0)</f>
        <v/>
      </c>
      <c r="L97" s="36" t="n">
        <v>85</v>
      </c>
      <c r="M97" s="36" t="n">
        <v>5464</v>
      </c>
      <c r="N97" s="36" t="n">
        <v>108737</v>
      </c>
      <c r="O97" s="35" t="inlineStr">
        <is>
          <t>Video</t>
        </is>
      </c>
    </row>
    <row r="98" ht="13.5" customHeight="1" s="109">
      <c r="A98" s="72" t="inlineStr">
        <is>
          <t>https://www.instagram.com/p/DWDiIsJCT1Y/</t>
        </is>
      </c>
      <c r="B98" s="72" t="inlineStr">
        <is>
          <t>Sante</t>
        </is>
      </c>
      <c r="C98" s="72" t="inlineStr">
        <is>
          <t>Sante publique</t>
        </is>
      </c>
      <c r="D98" s="73" t="n">
        <v>50</v>
      </c>
      <c r="E98" s="73" t="inlineStr">
        <is>
          <t>N</t>
        </is>
      </c>
      <c r="F98" s="72" t="inlineStr">
        <is>
          <t>RTSinfo présente un sujet scientifique de manière factuelle et informative, sans biais politique apparent.</t>
        </is>
      </c>
      <c r="G98" s="73" t="inlineStr">
        <is>
          <t>Non</t>
        </is>
      </c>
      <c r="H98" s="72" t="n"/>
      <c r="I98" s="73" t="n">
        <v>0</v>
      </c>
      <c r="J98" s="73" t="n">
        <v>7</v>
      </c>
      <c r="K98" s="74">
        <f>IFERROR(I98/J98,0)</f>
        <v/>
      </c>
      <c r="L98" s="73" t="n">
        <v>18</v>
      </c>
      <c r="M98" s="73" t="n">
        <v>3647</v>
      </c>
      <c r="N98" s="73" t="n">
        <v>0</v>
      </c>
      <c r="O98" s="72" t="inlineStr">
        <is>
          <t>Image_Carrousel</t>
        </is>
      </c>
    </row>
    <row r="99" ht="13.5" customHeight="1" s="109">
      <c r="A99" s="35" t="inlineStr">
        <is>
          <t>https://www.instagram.com/p/DWA9NxRjgmx/</t>
        </is>
      </c>
      <c r="B99" s="35" t="inlineStr">
        <is>
          <t>Environnement &amp; Nature</t>
        </is>
      </c>
      <c r="C99" s="35" t="inlineStr">
        <is>
          <t>Climat / Ecologie</t>
        </is>
      </c>
      <c r="D99" s="36" t="n">
        <v>50</v>
      </c>
      <c r="E99" s="36" t="inlineStr">
        <is>
          <t>N</t>
        </is>
      </c>
      <c r="F99" s="35" t="inlineStr">
        <is>
          <t>RTS (média public) et AFP, reportage factuel sur événement naturel.</t>
        </is>
      </c>
      <c r="G99" s="36" t="inlineStr">
        <is>
          <t>Non</t>
        </is>
      </c>
      <c r="H99" s="35" t="n"/>
      <c r="I99" s="36" t="n">
        <v>0</v>
      </c>
      <c r="J99" s="36" t="n">
        <v>8</v>
      </c>
      <c r="K99" s="74">
        <f>IFERROR(I99/J99,0)</f>
        <v/>
      </c>
      <c r="L99" s="36" t="n">
        <v>9</v>
      </c>
      <c r="M99" s="36" t="n">
        <v>5439</v>
      </c>
      <c r="N99" s="36" t="n">
        <v>0</v>
      </c>
      <c r="O99" s="35" t="inlineStr">
        <is>
          <t>Image_Carrousel</t>
        </is>
      </c>
    </row>
    <row r="100" ht="13.5" customHeight="1" s="109">
      <c r="A100" s="72" t="inlineStr">
        <is>
          <t>https://www.instagram.com/p/DV_eUaRjLr6/</t>
        </is>
      </c>
      <c r="B100" s="72" t="inlineStr">
        <is>
          <t>Culture &amp; Loisirs</t>
        </is>
      </c>
      <c r="C100" s="72" t="inlineStr">
        <is>
          <t>Arts</t>
        </is>
      </c>
      <c r="D100" s="73" t="n">
        <v>40</v>
      </c>
      <c r="E100" s="73" t="inlineStr">
        <is>
          <t>N</t>
        </is>
      </c>
      <c r="F100" s="72" t="inlineStr">
        <is>
          <t>Média public couvrant des sujets culturels et des phénomènes sociaux émergents.</t>
        </is>
      </c>
      <c r="G100" s="73" t="inlineStr">
        <is>
          <t>Oui</t>
        </is>
      </c>
      <c r="H100" s="72" t="inlineStr">
        <is>
          <t>Un commentaire juge le sujet proposé par le média inutile.</t>
        </is>
      </c>
      <c r="I100" s="73" t="n">
        <v>1</v>
      </c>
      <c r="J100" s="73" t="n">
        <v>8</v>
      </c>
      <c r="K100" s="74">
        <f>IFERROR(I100/J100,0)</f>
        <v/>
      </c>
      <c r="L100" s="73" t="n">
        <v>72</v>
      </c>
      <c r="M100" s="73" t="n">
        <v>4846</v>
      </c>
      <c r="N100" s="73" t="n">
        <v>0</v>
      </c>
      <c r="O100" s="72" t="inlineStr">
        <is>
          <t>Image_Carrousel</t>
        </is>
      </c>
    </row>
    <row r="101" ht="13.5" customHeight="1" s="109">
      <c r="A101" s="35" t="inlineStr">
        <is>
          <t>https://www.instagram.com/p/DV-6yRagQEL/</t>
        </is>
      </c>
      <c r="B101" s="35" t="inlineStr">
        <is>
          <t>Sante</t>
        </is>
      </c>
      <c r="C101" s="35" t="inlineStr">
        <is>
          <t>Sante publique</t>
        </is>
      </c>
      <c r="D101" s="36" t="n">
        <v>50</v>
      </c>
      <c r="E101" s="36" t="inlineStr">
        <is>
          <t>N</t>
        </is>
      </c>
      <c r="F101" s="35" t="inlineStr">
        <is>
          <t>RTS rapporte factuellement une décision de justice sur la politique vaccinale, mettant en avant la science.</t>
        </is>
      </c>
      <c r="G101" s="36" t="inlineStr">
        <is>
          <t>Non</t>
        </is>
      </c>
      <c r="H101" s="35" t="n"/>
      <c r="I101" s="36" t="n">
        <v>0</v>
      </c>
      <c r="J101" s="36" t="n">
        <v>2</v>
      </c>
      <c r="K101" s="74">
        <f>IFERROR(I101/J101,0)</f>
        <v/>
      </c>
      <c r="L101" s="36" t="n">
        <v>89</v>
      </c>
      <c r="M101" s="36" t="n">
        <v>2693</v>
      </c>
      <c r="N101" s="36" t="n">
        <v>0</v>
      </c>
      <c r="O101" s="35" t="inlineStr">
        <is>
          <t>Image_Carrousel</t>
        </is>
      </c>
    </row>
    <row r="102" ht="13.5" customHeight="1" s="109">
      <c r="A102" s="72" t="inlineStr">
        <is>
          <t>https://www.instagram.com/p/DV_BnzXmB-z/</t>
        </is>
      </c>
      <c r="B102" s="72" t="inlineStr">
        <is>
          <t>Economie &amp; Travail</t>
        </is>
      </c>
      <c r="C102" s="72" t="inlineStr">
        <is>
          <t>Marche du travail</t>
        </is>
      </c>
      <c r="D102" s="73" t="n">
        <v>50</v>
      </c>
      <c r="E102" s="73" t="inlineStr">
        <is>
          <t>N</t>
        </is>
      </c>
      <c r="F102" s="72" t="inlineStr">
        <is>
          <t>RTS, média de service public, vise la neutralité et l'équilibre de l'information.</t>
        </is>
      </c>
      <c r="G102" s="73" t="inlineStr">
        <is>
          <t>Non</t>
        </is>
      </c>
      <c r="H102" s="72" t="n"/>
      <c r="I102" s="73" t="n">
        <v>0</v>
      </c>
      <c r="J102" s="73" t="n">
        <v>7</v>
      </c>
      <c r="K102" s="74">
        <f>IFERROR(I102/J102,0)</f>
        <v/>
      </c>
      <c r="L102" s="73" t="n">
        <v>79</v>
      </c>
      <c r="M102" s="73" t="n">
        <v>6806</v>
      </c>
      <c r="N102" s="73" t="n">
        <v>0</v>
      </c>
      <c r="O102" s="72" t="inlineStr">
        <is>
          <t>Image_Carrousel</t>
        </is>
      </c>
    </row>
    <row r="103" ht="13.5" customHeight="1" s="109">
      <c r="A103" s="35" t="inlineStr">
        <is>
          <t>https://www.instagram.com/p/DV_xrZZklFW/</t>
        </is>
      </c>
      <c r="B103" s="35" t="inlineStr">
        <is>
          <t>Societe &amp; Droits</t>
        </is>
      </c>
      <c r="C103" s="35" t="inlineStr">
        <is>
          <t>Faits de societe</t>
        </is>
      </c>
      <c r="D103" s="36" t="n">
        <v>40</v>
      </c>
      <c r="E103" s="36" t="inlineStr">
        <is>
          <t>N</t>
        </is>
      </c>
      <c r="F103" s="35" t="inlineStr">
        <is>
          <t>Texte factuel, mais use d'une écriture inclusive et mentionne les oppositions sociales.</t>
        </is>
      </c>
      <c r="G103" s="36" t="inlineStr">
        <is>
          <t>Non</t>
        </is>
      </c>
      <c r="H103" s="35" t="inlineStr">
        <is>
          <t>Aucune critique directe du média par les commentateurs.</t>
        </is>
      </c>
      <c r="I103" s="36" t="n">
        <v>0</v>
      </c>
      <c r="J103" s="36" t="n">
        <v>8</v>
      </c>
      <c r="K103" s="74">
        <f>IFERROR(I103/J103,0)</f>
        <v/>
      </c>
      <c r="L103" s="36" t="n">
        <v>141</v>
      </c>
      <c r="M103" s="36" t="n">
        <v>6873</v>
      </c>
      <c r="N103" s="36" t="n">
        <v>0</v>
      </c>
      <c r="O103" s="35" t="inlineStr">
        <is>
          <t>Image_Carrousel</t>
        </is>
      </c>
    </row>
    <row r="104" ht="13.5" customHeight="1" s="109">
      <c r="A104" s="72" t="inlineStr">
        <is>
          <t>https://www.instagram.com/p/DV8TsyCAtyj/</t>
        </is>
      </c>
      <c r="B104" s="72" t="inlineStr">
        <is>
          <t>Culture &amp; Loisirs</t>
        </is>
      </c>
      <c r="C104" s="72" t="inlineStr">
        <is>
          <t>Sport</t>
        </is>
      </c>
      <c r="D104" s="73" t="n">
        <v>50</v>
      </c>
      <c r="E104" s="73" t="inlineStr">
        <is>
          <t>N</t>
        </is>
      </c>
      <c r="F104" s="72" t="inlineStr">
        <is>
          <t>Reportage factuel et célébratoire des performances suisses aux Jeux paralympiques.</t>
        </is>
      </c>
      <c r="G104" s="73" t="inlineStr">
        <is>
          <t>Oui</t>
        </is>
      </c>
      <c r="H104" s="72" t="inlineStr">
        <is>
          <t>Critique de la comparaison persistante de l'athlète à son oncle.</t>
        </is>
      </c>
      <c r="I104" s="73" t="n">
        <v>1</v>
      </c>
      <c r="J104" s="73" t="n">
        <v>10</v>
      </c>
      <c r="K104" s="74">
        <f>IFERROR(I104/J104,0)</f>
        <v/>
      </c>
      <c r="L104" s="73" t="n">
        <v>23</v>
      </c>
      <c r="M104" s="73" t="n">
        <v>5116</v>
      </c>
      <c r="N104" s="73" t="n">
        <v>0</v>
      </c>
      <c r="O104" s="72" t="inlineStr">
        <is>
          <t>Image_Carrousel</t>
        </is>
      </c>
    </row>
    <row r="105" ht="13.5" customHeight="1" s="109">
      <c r="A105" s="35" t="inlineStr">
        <is>
          <t>https://www.instagram.com/p/DV84FlkDJLq/</t>
        </is>
      </c>
      <c r="B105" s="35" t="inlineStr">
        <is>
          <t>Securite &amp; Justice</t>
        </is>
      </c>
      <c r="C105" s="35" t="inlineStr">
        <is>
          <t>Activites de Police</t>
        </is>
      </c>
      <c r="D105" s="36" t="n">
        <v>25</v>
      </c>
      <c r="E105" s="36" t="inlineStr">
        <is>
          <t>G</t>
        </is>
      </c>
      <c r="F105" s="35" t="inlineStr">
        <is>
          <t>Enquête critique sur l'action policière, dénonçant des dérapages et risques sanitaires.</t>
        </is>
      </c>
      <c r="G105" s="36" t="inlineStr">
        <is>
          <t>Non</t>
        </is>
      </c>
      <c r="H105" s="35" t="n"/>
      <c r="I105" s="36" t="n">
        <v>0</v>
      </c>
      <c r="J105" s="36" t="n">
        <v>2</v>
      </c>
      <c r="K105" s="74">
        <f>IFERROR(I105/J105,0)</f>
        <v/>
      </c>
      <c r="L105" s="36" t="n">
        <v>550</v>
      </c>
      <c r="M105" s="36" t="n">
        <v>7393</v>
      </c>
      <c r="N105" s="36" t="n">
        <v>126029</v>
      </c>
      <c r="O105" s="35" t="inlineStr">
        <is>
          <t>Video</t>
        </is>
      </c>
    </row>
    <row r="106" ht="13.5" customHeight="1" s="109">
      <c r="A106" s="72" t="inlineStr">
        <is>
          <t>https://www.instagram.com/p/DWBVURUiqCo/</t>
        </is>
      </c>
      <c r="B106" s="72" t="inlineStr">
        <is>
          <t>Societe &amp; Droits</t>
        </is>
      </c>
      <c r="C106" s="72" t="inlineStr">
        <is>
          <t>Questions de Genre</t>
        </is>
      </c>
      <c r="D106" s="73" t="n">
        <v>35</v>
      </c>
      <c r="E106" s="73" t="inlineStr">
        <is>
          <t>N</t>
        </is>
      </c>
      <c r="F106" s="72" t="inlineStr">
        <is>
          <t>Média public informe sur émancipation féminine, ton factuel mais sujet progressiste.</t>
        </is>
      </c>
      <c r="G106" s="73" t="inlineStr">
        <is>
          <t>Non</t>
        </is>
      </c>
      <c r="H106" s="72" t="n"/>
      <c r="I106" s="73" t="n">
        <v>0</v>
      </c>
      <c r="J106" s="73" t="n">
        <v>1</v>
      </c>
      <c r="K106" s="74">
        <f>IFERROR(I106/J106,0)</f>
        <v/>
      </c>
      <c r="L106" s="73" t="n">
        <v>23</v>
      </c>
      <c r="M106" s="73" t="n">
        <v>2831</v>
      </c>
      <c r="N106" s="73" t="n">
        <v>0</v>
      </c>
      <c r="O106" s="72" t="inlineStr">
        <is>
          <t>Image_Carrousel</t>
        </is>
      </c>
    </row>
    <row r="107" ht="13.5" customHeight="1" s="109">
      <c r="A107" s="35" t="inlineStr">
        <is>
          <t>https://www.instagram.com/p/DV8WBRnDZG5/</t>
        </is>
      </c>
      <c r="B107" s="35" t="inlineStr">
        <is>
          <t>Societe &amp; Droits</t>
        </is>
      </c>
      <c r="C107" s="35" t="inlineStr">
        <is>
          <t>Education</t>
        </is>
      </c>
      <c r="D107" s="36" t="n">
        <v>40</v>
      </c>
      <c r="E107" s="36" t="inlineStr">
        <is>
          <t>N</t>
        </is>
      </c>
      <c r="F107" s="35" t="inlineStr">
        <is>
          <t>RTS expose propagande étatique et résistance individuelle à des fins éducatives.</t>
        </is>
      </c>
      <c r="G107" s="36" t="inlineStr">
        <is>
          <t>Oui</t>
        </is>
      </c>
      <c r="H107" s="35" t="inlineStr">
        <is>
          <t>Critiques de l'influence US du film et de l'hypocrisie médiatique perçue.</t>
        </is>
      </c>
      <c r="I107" s="36" t="n">
        <v>2</v>
      </c>
      <c r="J107" s="36" t="n">
        <v>7</v>
      </c>
      <c r="K107" s="74">
        <f>IFERROR(I107/J107,0)</f>
        <v/>
      </c>
      <c r="L107" s="36" t="n">
        <v>82</v>
      </c>
      <c r="M107" s="36" t="n">
        <v>7718</v>
      </c>
      <c r="N107" s="36" t="n">
        <v>0</v>
      </c>
      <c r="O107" s="35" t="inlineStr">
        <is>
          <t>Image_Carrousel</t>
        </is>
      </c>
    </row>
    <row r="108" ht="13.5" customHeight="1" s="109">
      <c r="A108" s="72" t="inlineStr">
        <is>
          <t>https://www.instagram.com/p/DV-319djayg/</t>
        </is>
      </c>
      <c r="B108" s="72" t="inlineStr">
        <is>
          <t>Culture &amp; Loisirs</t>
        </is>
      </c>
      <c r="C108" s="72" t="inlineStr">
        <is>
          <t>Arts</t>
        </is>
      </c>
      <c r="D108" s="73" t="n">
        <v>50</v>
      </c>
      <c r="E108" s="73" t="inlineStr">
        <is>
          <t>N</t>
        </is>
      </c>
      <c r="F108" s="72" t="inlineStr">
        <is>
          <t>RTS est un média public, couvre un événement culturel avec inclusivité.</t>
        </is>
      </c>
      <c r="G108" s="73" t="inlineStr">
        <is>
          <t>Non</t>
        </is>
      </c>
      <c r="H108" s="72" t="inlineStr">
        <is>
          <t>Aucun commentaire ne critique le média.</t>
        </is>
      </c>
      <c r="I108" s="73" t="n">
        <v>0</v>
      </c>
      <c r="J108" s="73" t="n">
        <v>2</v>
      </c>
      <c r="K108" s="74">
        <f>IFERROR(I108/J108,0)</f>
        <v/>
      </c>
      <c r="L108" s="73" t="n">
        <v>178</v>
      </c>
      <c r="M108" s="73" t="n">
        <v>17510</v>
      </c>
      <c r="N108" s="73" t="n">
        <v>0</v>
      </c>
      <c r="O108" s="72" t="inlineStr">
        <is>
          <t>Image_Carrousel</t>
        </is>
      </c>
    </row>
    <row r="109" ht="13.5" customHeight="1" s="109">
      <c r="A109" s="35" t="inlineStr">
        <is>
          <t>https://www.instagram.com/p/DV_q06SAgsH/</t>
        </is>
      </c>
      <c r="B109" s="35" t="inlineStr">
        <is>
          <t>International</t>
        </is>
      </c>
      <c r="C109" s="35" t="inlineStr">
        <is>
          <t>Geopolitique</t>
        </is>
      </c>
      <c r="D109" s="36" t="n">
        <v>40</v>
      </c>
      <c r="E109" s="36" t="inlineStr">
        <is>
          <t>N</t>
        </is>
      </c>
      <c r="F109" s="35" t="inlineStr">
        <is>
          <t>Média public, informe sur crise géopolitique, mettant en lumière l'impact des sanctions.</t>
        </is>
      </c>
      <c r="G109" s="36" t="inlineStr">
        <is>
          <t>Oui</t>
        </is>
      </c>
      <c r="H109" s="35" t="inlineStr">
        <is>
          <t>Le commentaire reproche au média de ne pas assez considérer la voix du peuple cubain.</t>
        </is>
      </c>
      <c r="I109" s="36" t="n">
        <v>1</v>
      </c>
      <c r="J109" s="36" t="n">
        <v>4</v>
      </c>
      <c r="K109" s="74">
        <f>IFERROR(I109/J109,0)</f>
        <v/>
      </c>
      <c r="L109" s="36" t="n">
        <v>49</v>
      </c>
      <c r="M109" s="36" t="n">
        <v>2050</v>
      </c>
      <c r="N109" s="36" t="n">
        <v>0</v>
      </c>
      <c r="O109" s="35" t="inlineStr">
        <is>
          <t>Image_Carrousel</t>
        </is>
      </c>
    </row>
    <row r="110" ht="13.5" customHeight="1" s="109">
      <c r="A110" s="72" t="inlineStr">
        <is>
          <t>https://www.instagram.com/p/DV-fUsHk7A4/</t>
        </is>
      </c>
      <c r="B110" s="72" t="inlineStr">
        <is>
          <t>Sante</t>
        </is>
      </c>
      <c r="C110" s="72" t="inlineStr">
        <is>
          <t>Sante publique</t>
        </is>
      </c>
      <c r="D110" s="73" t="n">
        <v>50</v>
      </c>
      <c r="E110" s="73" t="inlineStr">
        <is>
          <t>N</t>
        </is>
      </c>
      <c r="F110" s="72" t="inlineStr">
        <is>
          <t>Média de service public, vise l'impartialité et l'information scientifique.</t>
        </is>
      </c>
      <c r="G110" s="73" t="inlineStr">
        <is>
          <t>Oui</t>
        </is>
      </c>
      <c r="H110" s="72" t="inlineStr">
        <is>
          <t>Mentionne l'impact cognitif négatif des médias en général.</t>
        </is>
      </c>
      <c r="I110" s="73" t="n">
        <v>1</v>
      </c>
      <c r="J110" s="73" t="n">
        <v>7</v>
      </c>
      <c r="K110" s="74">
        <f>IFERROR(I110/J110,0)</f>
        <v/>
      </c>
      <c r="L110" s="73" t="n">
        <v>11</v>
      </c>
      <c r="M110" s="73" t="n">
        <v>1911</v>
      </c>
      <c r="N110" s="73" t="n">
        <v>0</v>
      </c>
      <c r="O110" s="72" t="inlineStr">
        <is>
          <t>Image_Carrousel</t>
        </is>
      </c>
    </row>
    <row r="111" ht="13.5" customHeight="1" s="109">
      <c r="A111" s="35" t="inlineStr">
        <is>
          <t>https://www.instagram.com/p/DV8-ZybDN99/</t>
        </is>
      </c>
      <c r="B111" s="35" t="inlineStr">
        <is>
          <t>International</t>
        </is>
      </c>
      <c r="C111" s="35" t="inlineStr">
        <is>
          <t>Conflits</t>
        </is>
      </c>
      <c r="D111" s="36" t="n">
        <v>45</v>
      </c>
      <c r="E111" s="36" t="inlineStr">
        <is>
          <t>N</t>
        </is>
      </c>
      <c r="F111" s="35" t="inlineStr">
        <is>
          <t>Reportage factuel sur les déclarations de Trump et les tensions géopolitiques.</t>
        </is>
      </c>
      <c r="G111" s="36" t="inlineStr">
        <is>
          <t>Non</t>
        </is>
      </c>
      <c r="H111" s="35" t="n"/>
      <c r="I111" s="36" t="n">
        <v>0</v>
      </c>
      <c r="J111" s="36" t="n">
        <v>7</v>
      </c>
      <c r="K111" s="74">
        <f>IFERROR(I111/J111,0)</f>
        <v/>
      </c>
      <c r="L111" s="36" t="n">
        <v>110</v>
      </c>
      <c r="M111" s="36" t="n">
        <v>1252</v>
      </c>
      <c r="N111" s="36" t="n">
        <v>50367</v>
      </c>
      <c r="O111" s="35" t="inlineStr">
        <is>
          <t>Video</t>
        </is>
      </c>
    </row>
    <row r="112" ht="13.5" customHeight="1" s="109">
      <c r="A112" s="72" t="inlineStr">
        <is>
          <t>https://www.instagram.com/p/DV8w2v6oA5H/</t>
        </is>
      </c>
      <c r="B112" s="72" t="inlineStr">
        <is>
          <t>Securite &amp; Justice</t>
        </is>
      </c>
      <c r="C112" s="72" t="inlineStr">
        <is>
          <t>Activites de Police</t>
        </is>
      </c>
      <c r="D112" s="73" t="n">
        <v>35</v>
      </c>
      <c r="E112" s="73" t="inlineStr">
        <is>
          <t>G</t>
        </is>
      </c>
      <c r="F112" s="72" t="inlineStr">
        <is>
          <t>Enquête critique sur les actions policières et le manque de transparence institutionnelle.</t>
        </is>
      </c>
      <c r="G112" s="73" t="inlineStr">
        <is>
          <t>Oui</t>
        </is>
      </c>
      <c r="H112" s="72" t="inlineStr">
        <is>
          <t>Remet en question le manque de contexte sur les débordements des manifestants.</t>
        </is>
      </c>
      <c r="I112" s="73" t="n">
        <v>1</v>
      </c>
      <c r="J112" s="73" t="n">
        <v>4</v>
      </c>
      <c r="K112" s="74">
        <f>IFERROR(I112/J112,0)</f>
        <v/>
      </c>
      <c r="L112" s="73" t="n">
        <v>441</v>
      </c>
      <c r="M112" s="73" t="n">
        <v>8867</v>
      </c>
      <c r="N112" s="73" t="n">
        <v>0</v>
      </c>
      <c r="O112" s="72" t="inlineStr">
        <is>
          <t>Image_Carrousel</t>
        </is>
      </c>
    </row>
    <row r="113" ht="13.5" customHeight="1" s="109">
      <c r="A113" s="35" t="inlineStr">
        <is>
          <t>https://www.instagram.com/p/DV-iKsCjpHv/</t>
        </is>
      </c>
      <c r="B113" s="35" t="inlineStr">
        <is>
          <t>Societe &amp; Droits</t>
        </is>
      </c>
      <c r="C113" s="35" t="inlineStr">
        <is>
          <t>Faits de societe</t>
        </is>
      </c>
      <c r="D113" s="36" t="n">
        <v>45</v>
      </c>
      <c r="E113" s="36" t="inlineStr">
        <is>
          <t>N</t>
        </is>
      </c>
      <c r="F113" s="35" t="inlineStr">
        <is>
          <t>Média public suisse, ton factuel, couvre un sujet de société avec neutralité.</t>
        </is>
      </c>
      <c r="G113" s="36" t="inlineStr">
        <is>
          <t>Non</t>
        </is>
      </c>
      <c r="H113" s="35" t="n"/>
      <c r="I113" s="36" t="n">
        <v>0</v>
      </c>
      <c r="J113" s="36" t="n">
        <v>7</v>
      </c>
      <c r="K113" s="74">
        <f>IFERROR(I113/J113,0)</f>
        <v/>
      </c>
      <c r="L113" s="36" t="n">
        <v>141</v>
      </c>
      <c r="M113" s="36" t="n">
        <v>19512</v>
      </c>
      <c r="N113" s="36" t="n">
        <v>0</v>
      </c>
      <c r="O113" s="35" t="inlineStr">
        <is>
          <t>Image_Carrousel</t>
        </is>
      </c>
    </row>
    <row r="114" ht="13.5" customHeight="1" s="109">
      <c r="A114" s="72" t="inlineStr">
        <is>
          <t>https://www.instagram.com/p/DV9M5ZvgU06/</t>
        </is>
      </c>
      <c r="B114" s="72" t="inlineStr">
        <is>
          <t>Economie &amp; Travail</t>
        </is>
      </c>
      <c r="C114" s="72" t="inlineStr">
        <is>
          <t>Consommation</t>
        </is>
      </c>
      <c r="D114" s="73" t="n">
        <v>55</v>
      </c>
      <c r="E114" s="73" t="inlineStr">
        <is>
          <t>N</t>
        </is>
      </c>
      <c r="F114" s="72" t="inlineStr">
        <is>
          <t>Média public, factuel, visant la neutralité dans son traitement des faits économiques.</t>
        </is>
      </c>
      <c r="G114" s="73" t="inlineStr">
        <is>
          <t>Oui</t>
        </is>
      </c>
      <c r="H114" s="72" t="inlineStr">
        <is>
          <t>Un commentaire juge l'information obsolète.</t>
        </is>
      </c>
      <c r="I114" s="73" t="n">
        <v>1</v>
      </c>
      <c r="J114" s="73" t="n">
        <v>9</v>
      </c>
      <c r="K114" s="74">
        <f>IFERROR(I114/J114,0)</f>
        <v/>
      </c>
      <c r="L114" s="73" t="n">
        <v>60</v>
      </c>
      <c r="M114" s="73" t="n">
        <v>16401</v>
      </c>
      <c r="N114" s="73" t="n">
        <v>0</v>
      </c>
      <c r="O114" s="72" t="inlineStr">
        <is>
          <t>Image_Carrousel</t>
        </is>
      </c>
    </row>
    <row r="115" ht="13.5" customHeight="1" s="109">
      <c r="A115" s="35" t="inlineStr">
        <is>
          <t>https://www.instagram.com/p/DV-zXJ0DFpG/</t>
        </is>
      </c>
      <c r="B115" s="35" t="inlineStr">
        <is>
          <t>International</t>
        </is>
      </c>
      <c r="C115" s="35" t="inlineStr">
        <is>
          <t>Conflits</t>
        </is>
      </c>
      <c r="D115" s="36" t="n">
        <v>40</v>
      </c>
      <c r="E115" s="36" t="inlineStr">
        <is>
          <t>N</t>
        </is>
      </c>
      <c r="F115" s="35" t="inlineStr">
        <is>
          <t>Rapport factuel d'une annonce, media public suisse.</t>
        </is>
      </c>
      <c r="G115" s="36" t="inlineStr">
        <is>
          <t>Oui</t>
        </is>
      </c>
      <c r="H115" s="35" t="inlineStr">
        <is>
          <t>Questionne la véracité de l'information rapportée.</t>
        </is>
      </c>
      <c r="I115" s="36" t="n">
        <v>1</v>
      </c>
      <c r="J115" s="36" t="n">
        <v>7</v>
      </c>
      <c r="K115" s="74">
        <f>IFERROR(I115/J115,0)</f>
        <v/>
      </c>
      <c r="L115" s="36" t="n">
        <v>201</v>
      </c>
      <c r="M115" s="36" t="n">
        <v>2609</v>
      </c>
      <c r="N115" s="36" t="n">
        <v>0</v>
      </c>
      <c r="O115" s="35" t="inlineStr">
        <is>
          <t>Image_Carrousel</t>
        </is>
      </c>
    </row>
    <row r="116" ht="13.5" customHeight="1" s="109">
      <c r="A116" s="72" t="inlineStr">
        <is>
          <t>https://www.instagram.com/p/DV7svrXjbZW/</t>
        </is>
      </c>
      <c r="B116" s="72" t="inlineStr">
        <is>
          <t>Environnement &amp; Nature</t>
        </is>
      </c>
      <c r="C116" s="72" t="inlineStr">
        <is>
          <t>Climat / Ecologie</t>
        </is>
      </c>
      <c r="D116" s="73" t="n">
        <v>35</v>
      </c>
      <c r="E116" s="73" t="inlineStr">
        <is>
          <t>G</t>
        </is>
      </c>
      <c r="F116" s="72" t="inlineStr">
        <is>
          <t>RTS, service public, enquête expose pollution et enjeux environnementaux, penchant progressiste.</t>
        </is>
      </c>
      <c r="G116" s="73" t="inlineStr">
        <is>
          <t>Non</t>
        </is>
      </c>
      <c r="H116" s="72" t="n"/>
      <c r="I116" s="73" t="n">
        <v>0</v>
      </c>
      <c r="J116" s="73" t="n">
        <v>9</v>
      </c>
      <c r="K116" s="74">
        <f>IFERROR(I116/J116,0)</f>
        <v/>
      </c>
      <c r="L116" s="73" t="n">
        <v>63</v>
      </c>
      <c r="M116" s="73" t="n">
        <v>2030</v>
      </c>
      <c r="N116" s="73" t="n">
        <v>0</v>
      </c>
      <c r="O116" s="72" t="inlineStr">
        <is>
          <t>Image_Carrousel</t>
        </is>
      </c>
    </row>
    <row r="117" ht="13.5" customHeight="1" s="109">
      <c r="A117" s="35" t="inlineStr">
        <is>
          <t>https://www.instagram.com/p/DV6Tf0sCSem/</t>
        </is>
      </c>
      <c r="B117" s="35" t="inlineStr">
        <is>
          <t>Societe &amp; Droits</t>
        </is>
      </c>
      <c r="C117" s="35" t="inlineStr">
        <is>
          <t>Faits de societe</t>
        </is>
      </c>
      <c r="D117" s="36" t="n">
        <v>40</v>
      </c>
      <c r="E117" s="36" t="inlineStr">
        <is>
          <t>N</t>
        </is>
      </c>
      <c r="F117" s="35" t="inlineStr">
        <is>
          <t>Média de service public, reportage factuel sans prise de position politique.</t>
        </is>
      </c>
      <c r="G117" s="36" t="inlineStr">
        <is>
          <t>Non</t>
        </is>
      </c>
      <c r="H117" s="35" t="n"/>
      <c r="I117" s="36" t="n">
        <v>0</v>
      </c>
      <c r="J117" s="36" t="n">
        <v>10</v>
      </c>
      <c r="K117" s="74">
        <f>IFERROR(I117/J117,0)</f>
        <v/>
      </c>
      <c r="L117" s="36" t="n">
        <v>13</v>
      </c>
      <c r="M117" s="36" t="n">
        <v>5968</v>
      </c>
      <c r="N117" s="36" t="n">
        <v>0</v>
      </c>
      <c r="O117" s="35" t="inlineStr">
        <is>
          <t>Image_Carrousel</t>
        </is>
      </c>
    </row>
    <row r="118" ht="13.5" customHeight="1" s="109">
      <c r="A118" s="72" t="inlineStr">
        <is>
          <t>https://www.instagram.com/p/DWRfDxfDLf8/</t>
        </is>
      </c>
      <c r="B118" s="72" t="inlineStr">
        <is>
          <t>Sante</t>
        </is>
      </c>
      <c r="C118" s="72" t="inlineStr">
        <is>
          <t>Sante publique</t>
        </is>
      </c>
      <c r="D118" s="73" t="n">
        <v>35</v>
      </c>
      <c r="E118" s="73" t="inlineStr">
        <is>
          <t>N</t>
        </is>
      </c>
      <c r="F118" s="72" t="inlineStr">
        <is>
          <t>Média public suisse, sujets variés et généralement équilibrés, légère orientation gauche.</t>
        </is>
      </c>
      <c r="G118" s="73" t="inlineStr">
        <is>
          <t>Oui</t>
        </is>
      </c>
      <c r="H118" s="72" t="inlineStr">
        <is>
          <t>Manque de précision sur les détails de la proposition mentionnée.</t>
        </is>
      </c>
      <c r="I118" s="73" t="n">
        <v>1</v>
      </c>
      <c r="J118" s="73" t="n">
        <v>4</v>
      </c>
      <c r="K118" s="74">
        <f>IFERROR(I118/J118,0)</f>
        <v/>
      </c>
      <c r="L118" s="73" t="n">
        <v>262</v>
      </c>
      <c r="M118" s="73" t="n">
        <v>3824</v>
      </c>
      <c r="N118" s="73" t="n">
        <v>0</v>
      </c>
      <c r="O118" s="72" t="inlineStr">
        <is>
          <t>Image_Carrousel</t>
        </is>
      </c>
    </row>
    <row r="119" ht="13.5" customHeight="1" s="109">
      <c r="A119" s="35" t="inlineStr">
        <is>
          <t>https://www.instagram.com/p/DV5xKnuj5AO/</t>
        </is>
      </c>
      <c r="B119" s="35" t="inlineStr">
        <is>
          <t>Societe &amp; Droits</t>
        </is>
      </c>
      <c r="C119" s="35" t="inlineStr">
        <is>
          <t>Faits de societe</t>
        </is>
      </c>
      <c r="D119" s="36" t="n">
        <v>50</v>
      </c>
      <c r="E119" s="36" t="inlineStr">
        <is>
          <t>N</t>
        </is>
      </c>
      <c r="F119" s="35" t="inlineStr">
        <is>
          <t>RTSinfo est un media public qui présente l'information de manière neutre et factuelle.</t>
        </is>
      </c>
      <c r="G119" s="36" t="inlineStr">
        <is>
          <t>Non</t>
        </is>
      </c>
      <c r="H119" s="35" t="n"/>
      <c r="I119" s="36" t="n">
        <v>0</v>
      </c>
      <c r="J119" s="36" t="n">
        <v>6</v>
      </c>
      <c r="K119" s="74">
        <f>IFERROR(I119/J119,0)</f>
        <v/>
      </c>
      <c r="L119" s="36" t="n">
        <v>38</v>
      </c>
      <c r="M119" s="36" t="n">
        <v>4755</v>
      </c>
      <c r="N119" s="36" t="n">
        <v>0</v>
      </c>
      <c r="O119" s="35" t="inlineStr">
        <is>
          <t>Image_Carrousel</t>
        </is>
      </c>
    </row>
    <row r="120" ht="13.5" customHeight="1" s="109">
      <c r="A120" s="72" t="inlineStr">
        <is>
          <t>https://www.instagram.com/p/DV527GxjNQ3/</t>
        </is>
      </c>
      <c r="B120" s="72" t="inlineStr">
        <is>
          <t>Environnement &amp; Nature</t>
        </is>
      </c>
      <c r="C120" s="72" t="inlineStr">
        <is>
          <t>Climat / Ecologie</t>
        </is>
      </c>
      <c r="D120" s="73" t="n">
        <v>50</v>
      </c>
      <c r="E120" s="73" t="inlineStr">
        <is>
          <t>N</t>
        </is>
      </c>
      <c r="F120" s="72" t="inlineStr">
        <is>
          <t>RTSinfo, média de service public, rapport factuel et neutre sur un danger naturel.</t>
        </is>
      </c>
      <c r="G120" s="73" t="inlineStr">
        <is>
          <t>Non</t>
        </is>
      </c>
      <c r="H120" s="72" t="inlineStr">
        <is>
          <t>Aucun commentaire d'audience pour critique.</t>
        </is>
      </c>
      <c r="I120" s="73" t="n">
        <v>0</v>
      </c>
      <c r="J120" s="73" t="n">
        <v>0</v>
      </c>
      <c r="K120" s="74">
        <f>IFERROR(I120/J120,0)</f>
        <v/>
      </c>
      <c r="L120" s="73" t="n">
        <v>0</v>
      </c>
      <c r="M120" s="73" t="n">
        <v>4563</v>
      </c>
      <c r="N120" s="73" t="n">
        <v>0</v>
      </c>
      <c r="O120" s="72" t="inlineStr">
        <is>
          <t>Image_Carrousel</t>
        </is>
      </c>
    </row>
    <row r="121" ht="13.5" customHeight="1" s="109">
      <c r="A121" s="35" t="inlineStr">
        <is>
          <t>https://www.instagram.com/p/DV5V4NGkScG/</t>
        </is>
      </c>
      <c r="B121" s="35" t="inlineStr">
        <is>
          <t>Societe &amp; Droits</t>
        </is>
      </c>
      <c r="C121" s="35" t="inlineStr">
        <is>
          <t>Faits de societe</t>
        </is>
      </c>
      <c r="D121" s="36" t="n">
        <v>50</v>
      </c>
      <c r="E121" s="36" t="inlineStr">
        <is>
          <t>N</t>
        </is>
      </c>
      <c r="F121" s="35" t="inlineStr">
        <is>
          <t>Média de service public, reportage factuel sur l'innovation sans prise de position politique.</t>
        </is>
      </c>
      <c r="G121" s="36" t="inlineStr">
        <is>
          <t>Oui</t>
        </is>
      </c>
      <c r="H121" s="35" t="inlineStr">
        <is>
          <t>Terminologie imprécise et focus limité sur la diversité linguistique de l'IA.</t>
        </is>
      </c>
      <c r="I121" s="36" t="n">
        <v>2</v>
      </c>
      <c r="J121" s="36" t="n">
        <v>9</v>
      </c>
      <c r="K121" s="74">
        <f>IFERROR(I121/J121,0)</f>
        <v/>
      </c>
      <c r="L121" s="36" t="n">
        <v>61</v>
      </c>
      <c r="M121" s="36" t="n">
        <v>7835</v>
      </c>
      <c r="N121" s="36" t="n">
        <v>95754</v>
      </c>
      <c r="O121" s="35" t="inlineStr">
        <is>
          <t>Video</t>
        </is>
      </c>
    </row>
    <row r="122" ht="13.5" customHeight="1" s="109">
      <c r="A122" s="72" t="inlineStr">
        <is>
          <t>https://www.instagram.com/p/DV1ZMghAhf_/</t>
        </is>
      </c>
      <c r="B122" s="72" t="inlineStr">
        <is>
          <t>Culture &amp; Loisirs</t>
        </is>
      </c>
      <c r="C122" s="72" t="inlineStr">
        <is>
          <t>Sport</t>
        </is>
      </c>
      <c r="D122" s="73" t="n">
        <v>55</v>
      </c>
      <c r="E122" s="73" t="inlineStr">
        <is>
          <t>N</t>
        </is>
      </c>
      <c r="F122" s="72" t="inlineStr">
        <is>
          <t>Reportage factuel comparant curling masculin/féminin, explorant différences physiques et stratégiques.</t>
        </is>
      </c>
      <c r="G122" s="73" t="inlineStr">
        <is>
          <t>Oui</t>
        </is>
      </c>
      <c r="H122" s="72" t="inlineStr">
        <is>
          <t>Remise en question de la mise en opposition constante des genres par le média.</t>
        </is>
      </c>
      <c r="I122" s="73" t="n">
        <v>1</v>
      </c>
      <c r="J122" s="73" t="n">
        <v>8</v>
      </c>
      <c r="K122" s="74">
        <f>IFERROR(I122/J122,0)</f>
        <v/>
      </c>
      <c r="L122" s="73" t="n">
        <v>8</v>
      </c>
      <c r="M122" s="73" t="n">
        <v>4212</v>
      </c>
      <c r="N122" s="73" t="n">
        <v>58693</v>
      </c>
      <c r="O122" s="72" t="inlineStr">
        <is>
          <t>Video</t>
        </is>
      </c>
    </row>
    <row r="123" ht="13.5" customHeight="1" s="109">
      <c r="A123" s="35" t="inlineStr">
        <is>
          <t>https://www.instagram.com/p/DV6hP5rj5E6/</t>
        </is>
      </c>
      <c r="B123" s="35" t="inlineStr">
        <is>
          <t>Societe &amp; Droits</t>
        </is>
      </c>
      <c r="C123" s="35" t="inlineStr">
        <is>
          <t>Education</t>
        </is>
      </c>
      <c r="D123" s="36" t="n">
        <v>30</v>
      </c>
      <c r="E123" s="36" t="inlineStr">
        <is>
          <t>G</t>
        </is>
      </c>
      <c r="F123" s="35" t="inlineStr">
        <is>
          <t>L'article explore l'équité des conditions d'évaluation et suggère des adaptations sociales.</t>
        </is>
      </c>
      <c r="G123" s="36" t="inlineStr">
        <is>
          <t>Oui</t>
        </is>
      </c>
      <c r="H123" s="35" t="inlineStr">
        <is>
          <t>Un commentaire reproche au média de fournir des 'excuses' pour les mauvaises notes.</t>
        </is>
      </c>
      <c r="I123" s="36" t="n">
        <v>1</v>
      </c>
      <c r="J123" s="36" t="n">
        <v>10</v>
      </c>
      <c r="K123" s="74">
        <f>IFERROR(I123/J123,0)</f>
        <v/>
      </c>
      <c r="L123" s="36" t="n">
        <v>25</v>
      </c>
      <c r="M123" s="36" t="n">
        <v>6915</v>
      </c>
      <c r="N123" s="36" t="n">
        <v>0</v>
      </c>
      <c r="O123" s="35" t="inlineStr">
        <is>
          <t>Image_Carrousel</t>
        </is>
      </c>
    </row>
    <row r="124" ht="13.5" customHeight="1" s="109">
      <c r="A124" s="72" t="inlineStr">
        <is>
          <t>https://www.instagram.com/p/DV3-LVogoIg/</t>
        </is>
      </c>
      <c r="B124" s="72" t="inlineStr">
        <is>
          <t>Culture &amp; Loisirs</t>
        </is>
      </c>
      <c r="C124" s="72" t="inlineStr">
        <is>
          <t>Sport</t>
        </is>
      </c>
      <c r="D124" s="73" t="n">
        <v>50</v>
      </c>
      <c r="E124" s="73" t="inlineStr">
        <is>
          <t>N</t>
        </is>
      </c>
      <c r="F124" s="72" t="inlineStr">
        <is>
          <t>RTS est un média de service public, visant la neutralité dans le reportage sportif.</t>
        </is>
      </c>
      <c r="G124" s="73" t="inlineStr">
        <is>
          <t>Non</t>
        </is>
      </c>
      <c r="H124" s="72" t="n"/>
      <c r="I124" s="73" t="n">
        <v>0</v>
      </c>
      <c r="J124" s="73" t="n">
        <v>8</v>
      </c>
      <c r="K124" s="74">
        <f>IFERROR(I124/J124,0)</f>
        <v/>
      </c>
      <c r="L124" s="73" t="n">
        <v>8</v>
      </c>
      <c r="M124" s="73" t="n">
        <v>2153</v>
      </c>
      <c r="N124" s="73" t="n">
        <v>0</v>
      </c>
      <c r="O124" s="72" t="inlineStr">
        <is>
          <t>Image_Carrousel</t>
        </is>
      </c>
    </row>
    <row r="125" ht="13.5" customHeight="1" s="109">
      <c r="A125" s="35" t="inlineStr">
        <is>
          <t>https://www.instagram.com/p/DV6adowDnhP/</t>
        </is>
      </c>
      <c r="B125" s="35" t="inlineStr">
        <is>
          <t>Societe &amp; Droits</t>
        </is>
      </c>
      <c r="C125" s="35" t="inlineStr">
        <is>
          <t>Faits de societe</t>
        </is>
      </c>
      <c r="D125" s="36" t="n">
        <v>50</v>
      </c>
      <c r="E125" s="36" t="inlineStr">
        <is>
          <t>N</t>
        </is>
      </c>
      <c r="F125" s="35" t="inlineStr">
        <is>
          <t>Mise au Point (RTS) enquête sur un crime universellement condamné, ton factuel.</t>
        </is>
      </c>
      <c r="G125" s="36" t="inlineStr">
        <is>
          <t>Non</t>
        </is>
      </c>
      <c r="H125" s="35" t="inlineStr">
        <is>
          <t>Aucune critique du média dans les commentaires fournis.</t>
        </is>
      </c>
      <c r="I125" s="36" t="n">
        <v>0</v>
      </c>
      <c r="J125" s="36" t="n">
        <v>7</v>
      </c>
      <c r="K125" s="74">
        <f>IFERROR(I125/J125,0)</f>
        <v/>
      </c>
      <c r="L125" s="36" t="n">
        <v>435</v>
      </c>
      <c r="M125" s="36" t="n">
        <v>6859</v>
      </c>
      <c r="N125" s="36" t="n">
        <v>109100</v>
      </c>
      <c r="O125" s="35" t="inlineStr">
        <is>
          <t>Video</t>
        </is>
      </c>
    </row>
    <row r="126" ht="13.5" customHeight="1" s="109">
      <c r="A126" s="72" t="inlineStr">
        <is>
          <t>https://www.instagram.com/p/DV8LulnGrYU/</t>
        </is>
      </c>
      <c r="B126" s="72" t="inlineStr">
        <is>
          <t>Sante</t>
        </is>
      </c>
      <c r="C126" s="72" t="inlineStr">
        <is>
          <t>Sante publique</t>
        </is>
      </c>
      <c r="D126" s="73" t="n">
        <v>45</v>
      </c>
      <c r="E126" s="73" t="inlineStr">
        <is>
          <t>N</t>
        </is>
      </c>
      <c r="F126" s="72" t="inlineStr">
        <is>
          <t>RTS, média public, rapporte un problème de santé publique et appelle à la solidarité.</t>
        </is>
      </c>
      <c r="G126" s="73" t="inlineStr">
        <is>
          <t>Non</t>
        </is>
      </c>
      <c r="H126" s="72" t="n"/>
      <c r="I126" s="73" t="n">
        <v>0</v>
      </c>
      <c r="J126" s="73" t="n">
        <v>5</v>
      </c>
      <c r="K126" s="74">
        <f>IFERROR(I126/J126,0)</f>
        <v/>
      </c>
      <c r="L126" s="73" t="n">
        <v>127</v>
      </c>
      <c r="M126" s="73" t="n">
        <v>3791</v>
      </c>
      <c r="N126" s="73" t="n">
        <v>0</v>
      </c>
      <c r="O126" s="72" t="inlineStr">
        <is>
          <t>Image_Carrousel</t>
        </is>
      </c>
    </row>
    <row r="127" ht="13.5" customHeight="1" s="109">
      <c r="A127" s="35" t="inlineStr">
        <is>
          <t>https://www.instagram.com/p/DV7zmezDBE-/</t>
        </is>
      </c>
      <c r="B127" s="35" t="inlineStr">
        <is>
          <t>Societe &amp; Droits</t>
        </is>
      </c>
      <c r="C127" s="35" t="inlineStr">
        <is>
          <t>Faits de societe</t>
        </is>
      </c>
      <c r="D127" s="36" t="n">
        <v>65</v>
      </c>
      <c r="E127" s="36" t="inlineStr">
        <is>
          <t>D</t>
        </is>
      </c>
      <c r="F127" s="35" t="inlineStr">
        <is>
          <t>RTS/Le Figaro, rapport factuel sur fortunes sans critique systémique.</t>
        </is>
      </c>
      <c r="G127" s="36" t="inlineStr">
        <is>
          <t>Oui</t>
        </is>
      </c>
      <c r="H127" s="35" t="inlineStr">
        <is>
          <t>Un commentaire juge l'information comme étant 'de droite'.</t>
        </is>
      </c>
      <c r="I127" s="36" t="n">
        <v>1</v>
      </c>
      <c r="J127" s="36" t="n">
        <v>10</v>
      </c>
      <c r="K127" s="74">
        <f>IFERROR(I127/J127,0)</f>
        <v/>
      </c>
      <c r="L127" s="36" t="n">
        <v>18</v>
      </c>
      <c r="M127" s="36" t="n">
        <v>2525</v>
      </c>
      <c r="N127" s="36" t="n">
        <v>0</v>
      </c>
      <c r="O127" s="35" t="inlineStr">
        <is>
          <t>Image_Carrousel</t>
        </is>
      </c>
    </row>
    <row r="128" ht="13.5" customHeight="1" s="109">
      <c r="A128" s="72" t="inlineStr">
        <is>
          <t>https://www.instagram.com/p/DV5m17njdbd/</t>
        </is>
      </c>
      <c r="B128" s="72" t="inlineStr">
        <is>
          <t>Culture &amp; Loisirs</t>
        </is>
      </c>
      <c r="C128" s="72" t="inlineStr">
        <is>
          <t>Medias</t>
        </is>
      </c>
      <c r="D128" s="73" t="n">
        <v>45</v>
      </c>
      <c r="E128" s="73" t="inlineStr">
        <is>
          <t>N</t>
        </is>
      </c>
      <c r="F128" s="72" t="inlineStr">
        <is>
          <t>RTS, service public, article factuel et neutre sur un phénomène culturel, léger penchant gauche.</t>
        </is>
      </c>
      <c r="G128" s="73" t="inlineStr">
        <is>
          <t>Non</t>
        </is>
      </c>
      <c r="H128" s="72" t="n"/>
      <c r="I128" s="73" t="n">
        <v>0</v>
      </c>
      <c r="J128" s="73" t="n">
        <v>10</v>
      </c>
      <c r="K128" s="74">
        <f>IFERROR(I128/J128,0)</f>
        <v/>
      </c>
      <c r="L128" s="73" t="n">
        <v>13</v>
      </c>
      <c r="M128" s="73" t="n">
        <v>8727</v>
      </c>
      <c r="N128" s="73" t="n">
        <v>0</v>
      </c>
      <c r="O128" s="72" t="inlineStr">
        <is>
          <t>Image_Carrousel</t>
        </is>
      </c>
    </row>
    <row r="129" ht="13.5" customHeight="1" s="109">
      <c r="A129" s="35" t="inlineStr">
        <is>
          <t>https://www.instagram.com/p/DV3TQf3DQ08/</t>
        </is>
      </c>
      <c r="B129" s="35" t="inlineStr">
        <is>
          <t>International</t>
        </is>
      </c>
      <c r="C129" s="35" t="inlineStr">
        <is>
          <t>Geopolitique</t>
        </is>
      </c>
      <c r="D129" s="36" t="n">
        <v>40</v>
      </c>
      <c r="E129" s="36" t="inlineStr">
        <is>
          <t>G</t>
        </is>
      </c>
      <c r="F129" s="35" t="inlineStr">
        <is>
          <t>Média public suisse, souvent perçu comme centriste-gauche, analyse des enjeux internationaux.</t>
        </is>
      </c>
      <c r="G129" s="36" t="inlineStr">
        <is>
          <t>Non</t>
        </is>
      </c>
      <c r="H129" s="35" t="n"/>
      <c r="I129" s="36" t="n">
        <v>0</v>
      </c>
      <c r="J129" s="36" t="n">
        <v>3</v>
      </c>
      <c r="K129" s="74">
        <f>IFERROR(I129/J129,0)</f>
        <v/>
      </c>
      <c r="L129" s="36" t="n">
        <v>52</v>
      </c>
      <c r="M129" s="36" t="n">
        <v>3068</v>
      </c>
      <c r="N129" s="36" t="n">
        <v>0</v>
      </c>
      <c r="O129" s="35" t="inlineStr">
        <is>
          <t>Image_Carrousel</t>
        </is>
      </c>
    </row>
    <row r="130" ht="13.5" customHeight="1" s="109">
      <c r="A130" s="72" t="inlineStr">
        <is>
          <t>https://www.instagram.com/p/DV9F_6rEY56/</t>
        </is>
      </c>
      <c r="B130" s="72" t="inlineStr">
        <is>
          <t>Securite &amp; Justice</t>
        </is>
      </c>
      <c r="C130" s="72" t="inlineStr">
        <is>
          <t>Justice</t>
        </is>
      </c>
      <c r="D130" s="73" t="n">
        <v>50</v>
      </c>
      <c r="E130" s="73" t="inlineStr">
        <is>
          <t>N</t>
        </is>
      </c>
      <c r="F130" s="72" t="inlineStr">
        <is>
          <t>Rapportage factuel d'une décision institutionnelle sans biais apparent ou prise de position.</t>
        </is>
      </c>
      <c r="G130" s="73" t="inlineStr">
        <is>
          <t>Non</t>
        </is>
      </c>
      <c r="H130" s="72" t="n"/>
      <c r="I130" s="73" t="n">
        <v>0</v>
      </c>
      <c r="J130" s="73" t="n">
        <v>4</v>
      </c>
      <c r="K130" s="74">
        <f>IFERROR(I130/J130,0)</f>
        <v/>
      </c>
      <c r="L130" s="73" t="n">
        <v>114</v>
      </c>
      <c r="M130" s="73" t="n">
        <v>3790</v>
      </c>
      <c r="N130" s="73" t="n">
        <v>0</v>
      </c>
      <c r="O130" s="72" t="inlineStr">
        <is>
          <t>Image_Carrousel</t>
        </is>
      </c>
    </row>
    <row r="131" ht="13.5" customHeight="1" s="109">
      <c r="A131" s="35" t="inlineStr">
        <is>
          <t>https://www.instagram.com/p/DV38h3giTcp/</t>
        </is>
      </c>
      <c r="B131" s="35" t="inlineStr">
        <is>
          <t>Sante</t>
        </is>
      </c>
      <c r="C131" s="35" t="inlineStr">
        <is>
          <t>Sante publique</t>
        </is>
      </c>
      <c r="D131" s="36" t="n">
        <v>50</v>
      </c>
      <c r="E131" s="36" t="inlineStr">
        <is>
          <t>N</t>
        </is>
      </c>
      <c r="F131" s="35" t="inlineStr">
        <is>
          <t>Présentation factuelle de la mesure et des réactions, sans jugement de valeur manifeste.</t>
        </is>
      </c>
      <c r="G131" s="36" t="inlineStr">
        <is>
          <t>Non</t>
        </is>
      </c>
      <c r="H131" s="35" t="inlineStr">
        <is>
          <t>Aucune critique du média dans les commentaires fournis.</t>
        </is>
      </c>
      <c r="I131" s="36" t="n">
        <v>0</v>
      </c>
      <c r="J131" s="36" t="n">
        <v>2</v>
      </c>
      <c r="K131" s="74">
        <f>IFERROR(I131/J131,0)</f>
        <v/>
      </c>
      <c r="L131" s="36" t="n">
        <v>235</v>
      </c>
      <c r="M131" s="36" t="n">
        <v>6239</v>
      </c>
      <c r="N131" s="36" t="n">
        <v>0</v>
      </c>
      <c r="O131" s="35" t="inlineStr">
        <is>
          <t>Image_Carrousel</t>
        </is>
      </c>
    </row>
    <row r="132" ht="13.5" customHeight="1" s="109">
      <c r="A132" s="72" t="inlineStr">
        <is>
          <t>https://www.instagram.com/p/DV1Xq78jeNa/</t>
        </is>
      </c>
      <c r="B132" s="72" t="inlineStr">
        <is>
          <t>Economie &amp; Travail</t>
        </is>
      </c>
      <c r="C132" s="72" t="inlineStr">
        <is>
          <t>Consommation</t>
        </is>
      </c>
      <c r="D132" s="73" t="n">
        <v>50</v>
      </c>
      <c r="E132" s="73" t="inlineStr">
        <is>
          <t>N</t>
        </is>
      </c>
      <c r="F132" s="72" t="inlineStr">
        <is>
          <t>Analyse équilibrée du marché du logement et des services d'intermédiaires, sans prise de position.</t>
        </is>
      </c>
      <c r="G132" s="73" t="inlineStr">
        <is>
          <t>Non</t>
        </is>
      </c>
      <c r="H132" s="72" t="n"/>
      <c r="I132" s="73" t="n">
        <v>0</v>
      </c>
      <c r="J132" s="73" t="n">
        <v>6</v>
      </c>
      <c r="K132" s="74">
        <f>IFERROR(I132/J132,0)</f>
        <v/>
      </c>
      <c r="L132" s="73" t="n">
        <v>69</v>
      </c>
      <c r="M132" s="73" t="n">
        <v>1937</v>
      </c>
      <c r="N132" s="73" t="n">
        <v>0</v>
      </c>
      <c r="O132" s="72" t="inlineStr">
        <is>
          <t>Image_Carrousel</t>
        </is>
      </c>
    </row>
    <row r="133" ht="13.5" customHeight="1" s="109">
      <c r="A133" s="35" t="inlineStr">
        <is>
          <t>https://www.instagram.com/p/DV8c5JuD3LJ/</t>
        </is>
      </c>
      <c r="B133" s="35" t="inlineStr">
        <is>
          <t>Environnement &amp; Nature</t>
        </is>
      </c>
      <c r="C133" s="35" t="inlineStr">
        <is>
          <t>Climat / Ecologie</t>
        </is>
      </c>
      <c r="D133" s="36" t="n">
        <v>50</v>
      </c>
      <c r="E133" s="36" t="inlineStr">
        <is>
          <t>N</t>
        </is>
      </c>
      <c r="F133" s="35" t="inlineStr">
        <is>
          <t>Média de service public. Reportage factuel sur un événement climatique et ses conséquences.</t>
        </is>
      </c>
      <c r="G133" s="36" t="inlineStr">
        <is>
          <t>Non</t>
        </is>
      </c>
      <c r="H133" s="35" t="n"/>
      <c r="I133" s="36" t="n">
        <v>0</v>
      </c>
      <c r="J133" s="36" t="n">
        <v>0</v>
      </c>
      <c r="K133" s="74">
        <f>IFERROR(I133/J133,0)</f>
        <v/>
      </c>
      <c r="L133" s="36" t="n">
        <v>1</v>
      </c>
      <c r="M133" s="36" t="n">
        <v>2390</v>
      </c>
      <c r="N133" s="36" t="n">
        <v>39830</v>
      </c>
      <c r="O133" s="35" t="inlineStr">
        <is>
          <t>Video</t>
        </is>
      </c>
    </row>
    <row r="134" ht="13.5" customHeight="1" s="109">
      <c r="A134" s="72" t="inlineStr">
        <is>
          <t>https://www.instagram.com/p/DV3aNuBFE7j/</t>
        </is>
      </c>
      <c r="B134" s="72" t="inlineStr">
        <is>
          <t>Societe &amp; Droits</t>
        </is>
      </c>
      <c r="C134" s="72" t="inlineStr">
        <is>
          <t>Faits de societe</t>
        </is>
      </c>
      <c r="D134" s="73" t="n">
        <v>50</v>
      </c>
      <c r="E134" s="73" t="inlineStr">
        <is>
          <t>N</t>
        </is>
      </c>
      <c r="F134" s="72" t="inlineStr">
        <is>
          <t>RTS est un média de service public, présentant le sujet de manière équilibrée.</t>
        </is>
      </c>
      <c r="G134" s="73" t="inlineStr">
        <is>
          <t>Non</t>
        </is>
      </c>
      <c r="H134" s="72" t="n"/>
      <c r="I134" s="73" t="n">
        <v>0</v>
      </c>
      <c r="J134" s="73" t="n">
        <v>9</v>
      </c>
      <c r="K134" s="74">
        <f>IFERROR(I134/J134,0)</f>
        <v/>
      </c>
      <c r="L134" s="73" t="n">
        <v>21</v>
      </c>
      <c r="M134" s="73" t="n">
        <v>4270</v>
      </c>
      <c r="N134" s="73" t="n">
        <v>0</v>
      </c>
      <c r="O134" s="72" t="inlineStr">
        <is>
          <t>Image_Carrousel</t>
        </is>
      </c>
    </row>
    <row r="135" ht="13.5" customHeight="1" s="109">
      <c r="A135" s="35" t="inlineStr">
        <is>
          <t>https://www.instagram.com/p/DV1ef7NIEJW/</t>
        </is>
      </c>
      <c r="B135" s="35" t="inlineStr">
        <is>
          <t>International</t>
        </is>
      </c>
      <c r="C135" s="35" t="inlineStr">
        <is>
          <t>Conflits</t>
        </is>
      </c>
      <c r="D135" s="36" t="n">
        <v>40</v>
      </c>
      <c r="E135" s="36" t="inlineStr">
        <is>
          <t>N</t>
        </is>
      </c>
      <c r="F135" s="35" t="inlineStr">
        <is>
          <t>RTS rapporte factuellement les conséquences humanitaires et environnementales d'un conflit.</t>
        </is>
      </c>
      <c r="G135" s="36" t="inlineStr">
        <is>
          <t>Non</t>
        </is>
      </c>
      <c r="H135" s="35" t="n"/>
      <c r="I135" s="36" t="n">
        <v>0</v>
      </c>
      <c r="J135" s="36" t="n">
        <v>7</v>
      </c>
      <c r="K135" s="74">
        <f>IFERROR(I135/J135,0)</f>
        <v/>
      </c>
      <c r="L135" s="36" t="n">
        <v>103</v>
      </c>
      <c r="M135" s="36" t="n">
        <v>2371</v>
      </c>
      <c r="N135" s="36" t="n">
        <v>0</v>
      </c>
      <c r="O135" s="35" t="inlineStr">
        <is>
          <t>Image_Carrousel</t>
        </is>
      </c>
    </row>
    <row r="136" ht="13.5" customHeight="1" s="109">
      <c r="A136" s="72" t="inlineStr">
        <is>
          <t>https://www.instagram.com/p/DV3MWU7DTDd/</t>
        </is>
      </c>
      <c r="B136" s="72" t="inlineStr">
        <is>
          <t>Societe &amp; Droits</t>
        </is>
      </c>
      <c r="C136" s="72" t="inlineStr">
        <is>
          <t>Faits de societe</t>
        </is>
      </c>
      <c r="D136" s="73" t="n">
        <v>50</v>
      </c>
      <c r="E136" s="73" t="inlineStr">
        <is>
          <t>N</t>
        </is>
      </c>
      <c r="F136" s="72" t="inlineStr">
        <is>
          <t>RTS/ATS rapporte factuellement la décision du zoo et sa justification.</t>
        </is>
      </c>
      <c r="G136" s="73" t="inlineStr">
        <is>
          <t>Non</t>
        </is>
      </c>
      <c r="H136" s="72" t="n"/>
      <c r="I136" s="73" t="n">
        <v>0</v>
      </c>
      <c r="J136" s="73" t="n">
        <v>8</v>
      </c>
      <c r="K136" s="74">
        <f>IFERROR(I136/J136,0)</f>
        <v/>
      </c>
      <c r="L136" s="73" t="n">
        <v>363</v>
      </c>
      <c r="M136" s="73" t="n">
        <v>3856</v>
      </c>
      <c r="N136" s="73" t="n">
        <v>0</v>
      </c>
      <c r="O136" s="72" t="inlineStr">
        <is>
          <t>Image_Carrousel</t>
        </is>
      </c>
    </row>
    <row r="137" ht="13.5" customHeight="1" s="109">
      <c r="A137" s="35" t="inlineStr">
        <is>
          <t>https://www.instagram.com/p/DV3CFECgSUG/</t>
        </is>
      </c>
      <c r="B137" s="35" t="inlineStr">
        <is>
          <t>Environnement &amp; Nature</t>
        </is>
      </c>
      <c r="C137" s="35" t="inlineStr">
        <is>
          <t>Climat / Ecologie</t>
        </is>
      </c>
      <c r="D137" s="36" t="n">
        <v>25</v>
      </c>
      <c r="E137" s="36" t="inlineStr">
        <is>
          <t>G</t>
        </is>
      </c>
      <c r="F137" s="35" t="inlineStr">
        <is>
          <t>RTS service public, information factuelle, perçue centre-gauche.</t>
        </is>
      </c>
      <c r="G137" s="36" t="inlineStr">
        <is>
          <t>Oui</t>
        </is>
      </c>
      <c r="H137" s="35" t="inlineStr">
        <is>
          <t>Reproche au média de sur-sensibiliser sur un phénomène naturel habituel.</t>
        </is>
      </c>
      <c r="I137" s="36" t="n">
        <v>1</v>
      </c>
      <c r="J137" s="36" t="n">
        <v>9</v>
      </c>
      <c r="K137" s="74">
        <f>IFERROR(I137/J137,0)</f>
        <v/>
      </c>
      <c r="L137" s="36" t="n">
        <v>14</v>
      </c>
      <c r="M137" s="36" t="n">
        <v>4443</v>
      </c>
      <c r="N137" s="36" t="n">
        <v>0</v>
      </c>
      <c r="O137" s="35" t="inlineStr">
        <is>
          <t>Image_Carrousel</t>
        </is>
      </c>
    </row>
    <row r="138" ht="13.5" customHeight="1" s="109">
      <c r="A138" s="72" t="inlineStr">
        <is>
          <t>https://www.instagram.com/p/DV_IeIxIHVv/</t>
        </is>
      </c>
      <c r="B138" s="72" t="inlineStr">
        <is>
          <t>Environnement &amp; Nature</t>
        </is>
      </c>
      <c r="C138" s="72" t="inlineStr">
        <is>
          <t>Climat / Ecologie</t>
        </is>
      </c>
      <c r="D138" s="73" t="n">
        <v>40</v>
      </c>
      <c r="E138" s="73" t="inlineStr">
        <is>
          <t>N</t>
        </is>
      </c>
      <c r="F138" s="72" t="inlineStr">
        <is>
          <t>Service public suisse, réputé neutre, parfois perçu légèrement à gauche.</t>
        </is>
      </c>
      <c r="G138" s="73" t="inlineStr">
        <is>
          <t>Oui</t>
        </is>
      </c>
      <c r="H138" s="72" t="inlineStr">
        <is>
          <t>Manque d'informations pratiques et de consignes pour les animaux.</t>
        </is>
      </c>
      <c r="I138" s="73" t="n">
        <v>2</v>
      </c>
      <c r="J138" s="73" t="n">
        <v>8</v>
      </c>
      <c r="K138" s="74">
        <f>IFERROR(I138/J138,0)</f>
        <v/>
      </c>
      <c r="L138" s="73" t="n">
        <v>8</v>
      </c>
      <c r="M138" s="73" t="n">
        <v>3832</v>
      </c>
      <c r="N138" s="73" t="n">
        <v>0</v>
      </c>
      <c r="O138" s="72" t="inlineStr">
        <is>
          <t>Image_Carrousel</t>
        </is>
      </c>
    </row>
    <row r="139" ht="13.5" customHeight="1" s="109">
      <c r="A139" s="35" t="inlineStr">
        <is>
          <t>https://www.instagram.com/p/DV4NEd4DCiw/</t>
        </is>
      </c>
      <c r="B139" s="35" t="inlineStr">
        <is>
          <t>Politique &amp; Institutions</t>
        </is>
      </c>
      <c r="C139" s="35" t="inlineStr">
        <is>
          <t>Vie politique CH</t>
        </is>
      </c>
      <c r="D139" s="36" t="n">
        <v>50</v>
      </c>
      <c r="E139" s="36" t="inlineStr">
        <is>
          <t>N</t>
        </is>
      </c>
      <c r="F139" s="35" t="inlineStr">
        <is>
          <t>RTS info, public, rapporte décision fédérale et législation sans biais apparent.</t>
        </is>
      </c>
      <c r="G139" s="36" t="inlineStr">
        <is>
          <t>Non</t>
        </is>
      </c>
      <c r="H139" s="35" t="n"/>
      <c r="I139" s="36" t="n">
        <v>0</v>
      </c>
      <c r="J139" s="36" t="n">
        <v>3</v>
      </c>
      <c r="K139" s="74">
        <f>IFERROR(I139/J139,0)</f>
        <v/>
      </c>
      <c r="L139" s="36" t="n">
        <v>223</v>
      </c>
      <c r="M139" s="36" t="n">
        <v>8336</v>
      </c>
      <c r="N139" s="36" t="n">
        <v>0</v>
      </c>
      <c r="O139" s="35" t="inlineStr">
        <is>
          <t>Image_Carrousel</t>
        </is>
      </c>
    </row>
    <row r="140" ht="13.5" customHeight="1" s="109">
      <c r="A140" s="72" t="inlineStr">
        <is>
          <t>https://www.instagram.com/p/DV01nhSk7X8/</t>
        </is>
      </c>
      <c r="B140" s="72" t="inlineStr">
        <is>
          <t>Environnement &amp; Nature</t>
        </is>
      </c>
      <c r="C140" s="72" t="inlineStr">
        <is>
          <t>Energie</t>
        </is>
      </c>
      <c r="D140" s="73" t="n">
        <v>25</v>
      </c>
      <c r="E140" s="73" t="inlineStr">
        <is>
          <t>G</t>
        </is>
      </c>
      <c r="F140" s="72" t="inlineStr">
        <is>
          <t>Média public suisse, enquête critique sur un événement étatique passé.</t>
        </is>
      </c>
      <c r="G140" s="73" t="inlineStr">
        <is>
          <t>Oui</t>
        </is>
      </c>
      <c r="H140" s="72" t="inlineStr">
        <is>
          <t>Accusé de 'propagande rouge-verte' et de biais politique.</t>
        </is>
      </c>
      <c r="I140" s="73" t="n">
        <v>1</v>
      </c>
      <c r="J140" s="73" t="n">
        <v>3</v>
      </c>
      <c r="K140" s="74">
        <f>IFERROR(I140/J140,0)</f>
        <v/>
      </c>
      <c r="L140" s="73" t="n">
        <v>32</v>
      </c>
      <c r="M140" s="73" t="n">
        <v>1444</v>
      </c>
      <c r="N140" s="73" t="n">
        <v>33100</v>
      </c>
      <c r="O140" s="72" t="inlineStr">
        <is>
          <t>Video</t>
        </is>
      </c>
    </row>
    <row r="141" ht="13.5" customHeight="1" s="109">
      <c r="A141" s="35" t="inlineStr">
        <is>
          <t>https://www.instagram.com/p/DV31-pUEcmo/</t>
        </is>
      </c>
      <c r="B141" s="35" t="inlineStr">
        <is>
          <t>Economie &amp; Travail</t>
        </is>
      </c>
      <c r="C141" s="35" t="inlineStr">
        <is>
          <t>Agriculture</t>
        </is>
      </c>
      <c r="D141" s="36" t="n">
        <v>40</v>
      </c>
      <c r="E141" s="36" t="inlineStr">
        <is>
          <t>N</t>
        </is>
      </c>
      <c r="F141" s="35" t="inlineStr">
        <is>
          <t>Reportage positif sur des solutions collaboratives pour améliorer le travail agricole.</t>
        </is>
      </c>
      <c r="G141" s="36" t="inlineStr">
        <is>
          <t>Oui</t>
        </is>
      </c>
      <c r="H141" s="35" t="inlineStr">
        <is>
          <t>Le reportage manque de sujets plus mobilisateurs.</t>
        </is>
      </c>
      <c r="I141" s="36" t="n">
        <v>1</v>
      </c>
      <c r="J141" s="36" t="n">
        <v>9</v>
      </c>
      <c r="K141" s="74">
        <f>IFERROR(I141/J141,0)</f>
        <v/>
      </c>
      <c r="L141" s="36" t="n">
        <v>11</v>
      </c>
      <c r="M141" s="36" t="n">
        <v>2652</v>
      </c>
      <c r="N141" s="36" t="n">
        <v>46128</v>
      </c>
      <c r="O141" s="35" t="inlineStr">
        <is>
          <t>Video</t>
        </is>
      </c>
    </row>
    <row r="142" ht="13.5" customHeight="1" s="109">
      <c r="A142" s="72" t="inlineStr">
        <is>
          <t>https://www.instagram.com/p/DV8jrwkjAzR/</t>
        </is>
      </c>
      <c r="B142" s="72" t="inlineStr">
        <is>
          <t>Societe &amp; Droits</t>
        </is>
      </c>
      <c r="C142" s="72" t="inlineStr">
        <is>
          <t>Faits de societe</t>
        </is>
      </c>
      <c r="D142" s="73" t="n">
        <v>45</v>
      </c>
      <c r="E142" s="73" t="inlineStr">
        <is>
          <t>N</t>
        </is>
      </c>
      <c r="F142" s="72" t="inlineStr">
        <is>
          <t>RTSinfo, média de service public, rapporte les faits de manière neutre.</t>
        </is>
      </c>
      <c r="G142" s="73" t="inlineStr">
        <is>
          <t>Oui</t>
        </is>
      </c>
      <c r="H142" s="72" t="inlineStr">
        <is>
          <t>Critique de l'usage de l'écriture inclusive dans l'article.</t>
        </is>
      </c>
      <c r="I142" s="73" t="n">
        <v>1</v>
      </c>
      <c r="J142" s="73" t="n">
        <v>5</v>
      </c>
      <c r="K142" s="74">
        <f>IFERROR(I142/J142,0)</f>
        <v/>
      </c>
      <c r="L142" s="73" t="n">
        <v>8</v>
      </c>
      <c r="M142" s="73" t="n">
        <v>1943</v>
      </c>
      <c r="N142" s="73" t="n">
        <v>0</v>
      </c>
      <c r="O142" s="72" t="inlineStr">
        <is>
          <t>Image_Carrousel</t>
        </is>
      </c>
    </row>
    <row r="143" ht="13.5" customHeight="1" s="109">
      <c r="A143" s="35" t="inlineStr">
        <is>
          <t>https://www.instagram.com/p/DV3u7j_D46h/</t>
        </is>
      </c>
      <c r="B143" s="35" t="inlineStr">
        <is>
          <t>Politique &amp; Institutions</t>
        </is>
      </c>
      <c r="C143" s="35" t="inlineStr">
        <is>
          <t>Autorites</t>
        </is>
      </c>
      <c r="D143" s="36" t="n">
        <v>50</v>
      </c>
      <c r="E143" s="36" t="inlineStr">
        <is>
          <t>N</t>
        </is>
      </c>
      <c r="F143" s="35" t="inlineStr">
        <is>
          <t>RTS rapporte objectivement une décision juridique importante pour les familles et le travail.</t>
        </is>
      </c>
      <c r="G143" s="36" t="inlineStr">
        <is>
          <t>Non</t>
        </is>
      </c>
      <c r="H143" s="35" t="n"/>
      <c r="I143" s="36" t="n">
        <v>0</v>
      </c>
      <c r="J143" s="36" t="n">
        <v>4</v>
      </c>
      <c r="K143" s="74">
        <f>IFERROR(I143/J143,0)</f>
        <v/>
      </c>
      <c r="L143" s="36" t="n">
        <v>28</v>
      </c>
      <c r="M143" s="36" t="n">
        <v>6367</v>
      </c>
      <c r="N143" s="36" t="n">
        <v>0</v>
      </c>
      <c r="O143" s="35" t="inlineStr">
        <is>
          <t>Image_Carrousel</t>
        </is>
      </c>
    </row>
    <row r="144" ht="13.5" customHeight="1" s="109">
      <c r="A144" s="72" t="inlineStr">
        <is>
          <t>https://www.instagram.com/p/DV0MHMRjS8v/</t>
        </is>
      </c>
      <c r="B144" s="72" t="inlineStr">
        <is>
          <t>Securite &amp; Justice</t>
        </is>
      </c>
      <c r="C144" s="72" t="inlineStr">
        <is>
          <t>Justice</t>
        </is>
      </c>
      <c r="D144" s="73" t="n">
        <v>40</v>
      </c>
      <c r="E144" s="73" t="inlineStr">
        <is>
          <t>N</t>
        </is>
      </c>
      <c r="F144" s="72" t="inlineStr">
        <is>
          <t>Média public suisse, rapportage factuel, met en lumière les aspects sociaux d'égalité.</t>
        </is>
      </c>
      <c r="G144" s="73" t="inlineStr">
        <is>
          <t>Non</t>
        </is>
      </c>
      <c r="H144" s="72" t="n"/>
      <c r="I144" s="73" t="n">
        <v>0</v>
      </c>
      <c r="J144" s="73" t="n">
        <v>4</v>
      </c>
      <c r="K144" s="74">
        <f>IFERROR(I144/J144,0)</f>
        <v/>
      </c>
      <c r="L144" s="73" t="n">
        <v>111</v>
      </c>
      <c r="M144" s="73" t="n">
        <v>3460</v>
      </c>
      <c r="N144" s="73" t="n">
        <v>0</v>
      </c>
      <c r="O144" s="72" t="inlineStr">
        <is>
          <t>Image_Carrousel</t>
        </is>
      </c>
    </row>
    <row r="145" ht="13.5" customHeight="1" s="109">
      <c r="A145" s="35" t="inlineStr">
        <is>
          <t>https://www.instagram.com/p/DV0pl9cgugs/</t>
        </is>
      </c>
      <c r="B145" s="35" t="inlineStr">
        <is>
          <t>Culture &amp; Loisirs</t>
        </is>
      </c>
      <c r="C145" s="35" t="inlineStr">
        <is>
          <t>Sport</t>
        </is>
      </c>
      <c r="D145" s="36" t="n">
        <v>50</v>
      </c>
      <c r="E145" s="36" t="inlineStr">
        <is>
          <t>N</t>
        </is>
      </c>
      <c r="F145" s="35" t="inlineStr">
        <is>
          <t>RTS est un média public suisse, rapportant faits sportifs avec neutralité et objectivité.</t>
        </is>
      </c>
      <c r="G145" s="36" t="inlineStr">
        <is>
          <t>Non</t>
        </is>
      </c>
      <c r="H145" s="35" t="n"/>
      <c r="I145" s="36" t="n">
        <v>0</v>
      </c>
      <c r="J145" s="36" t="n">
        <v>10</v>
      </c>
      <c r="K145" s="74">
        <f>IFERROR(I145/J145,0)</f>
        <v/>
      </c>
      <c r="L145" s="36" t="n">
        <v>27</v>
      </c>
      <c r="M145" s="36" t="n">
        <v>6011</v>
      </c>
      <c r="N145" s="36" t="n">
        <v>0</v>
      </c>
      <c r="O145" s="35" t="inlineStr">
        <is>
          <t>Image_Carrousel</t>
        </is>
      </c>
    </row>
    <row r="146" ht="13.5" customHeight="1" s="109">
      <c r="A146" s="72" t="inlineStr">
        <is>
          <t>https://www.instagram.com/p/DV1KBkrjbPk/</t>
        </is>
      </c>
      <c r="B146" s="72" t="inlineStr">
        <is>
          <t>Societe &amp; Droits</t>
        </is>
      </c>
      <c r="C146" s="72" t="inlineStr">
        <is>
          <t>Faits de societe</t>
        </is>
      </c>
      <c r="D146" s="73" t="n">
        <v>55</v>
      </c>
      <c r="E146" s="73" t="inlineStr">
        <is>
          <t>N</t>
        </is>
      </c>
      <c r="F146" s="72" t="inlineStr">
        <is>
          <t>RTS Info est un média public, généralement neutre.</t>
        </is>
      </c>
      <c r="G146" s="73" t="inlineStr">
        <is>
          <t>Non</t>
        </is>
      </c>
      <c r="H146" s="72" t="inlineStr">
        <is>
          <t>Aucun commentaire ne critique le média ou l'article.</t>
        </is>
      </c>
      <c r="I146" s="73" t="n">
        <v>0</v>
      </c>
      <c r="J146" s="73" t="n">
        <v>4</v>
      </c>
      <c r="K146" s="74">
        <f>IFERROR(I146/J146,0)</f>
        <v/>
      </c>
      <c r="L146" s="73" t="n">
        <v>4</v>
      </c>
      <c r="M146" s="73" t="n">
        <v>491</v>
      </c>
      <c r="N146" s="73" t="n">
        <v>9717</v>
      </c>
      <c r="O146" s="72" t="inlineStr">
        <is>
          <t>Video</t>
        </is>
      </c>
    </row>
    <row r="147" ht="13.5" customHeight="1" s="109">
      <c r="A147" s="35" t="inlineStr">
        <is>
          <t>https://www.instagram.com/p/DVy5uDsAcCF/</t>
        </is>
      </c>
      <c r="B147" s="35" t="inlineStr">
        <is>
          <t>Environnement &amp; Nature</t>
        </is>
      </c>
      <c r="C147" s="35" t="inlineStr">
        <is>
          <t>Energie</t>
        </is>
      </c>
      <c r="D147" s="36" t="n">
        <v>45</v>
      </c>
      <c r="E147" s="36" t="inlineStr">
        <is>
          <t>N</t>
        </is>
      </c>
      <c r="F147" s="35" t="inlineStr">
        <is>
          <t>Rapport factuel soulignant les risques et conséquences durables du nucléaire.</t>
        </is>
      </c>
      <c r="G147" s="36" t="inlineStr">
        <is>
          <t>Non</t>
        </is>
      </c>
      <c r="H147" s="35" t="n"/>
      <c r="I147" s="36" t="n">
        <v>0</v>
      </c>
      <c r="J147" s="36" t="n">
        <v>4</v>
      </c>
      <c r="K147" s="74">
        <f>IFERROR(I147/J147,0)</f>
        <v/>
      </c>
      <c r="L147" s="36" t="n">
        <v>33</v>
      </c>
      <c r="M147" s="36" t="n">
        <v>4085</v>
      </c>
      <c r="N147" s="36" t="n">
        <v>0</v>
      </c>
      <c r="O147" s="35" t="inlineStr">
        <is>
          <t>Image_Carrousel</t>
        </is>
      </c>
    </row>
    <row r="148" ht="13.5" customHeight="1" s="109">
      <c r="A148" s="72" t="inlineStr">
        <is>
          <t>https://www.instagram.com/p/DV0nolJjYSQ/</t>
        </is>
      </c>
      <c r="B148" s="72" t="inlineStr">
        <is>
          <t>Societe &amp; Droits</t>
        </is>
      </c>
      <c r="C148" s="72" t="inlineStr">
        <is>
          <t>Questions de Genre</t>
        </is>
      </c>
      <c r="D148" s="73" t="n">
        <v>55</v>
      </c>
      <c r="E148" s="73" t="inlineStr">
        <is>
          <t>N</t>
        </is>
      </c>
      <c r="F148" s="72" t="inlineStr">
        <is>
          <t>Service public rapporte faits sociaux, met en lumière problèmes et attentes associatives.</t>
        </is>
      </c>
      <c r="G148" s="73" t="inlineStr">
        <is>
          <t>Non</t>
        </is>
      </c>
      <c r="H148" s="72" t="n"/>
      <c r="I148" s="73" t="n">
        <v>0</v>
      </c>
      <c r="J148" s="73" t="n">
        <v>7</v>
      </c>
      <c r="K148" s="74">
        <f>IFERROR(I148/J148,0)</f>
        <v/>
      </c>
      <c r="L148" s="73" t="n">
        <v>109</v>
      </c>
      <c r="M148" s="73" t="n">
        <v>10624</v>
      </c>
      <c r="N148" s="73" t="n">
        <v>0</v>
      </c>
      <c r="O148" s="72" t="inlineStr">
        <is>
          <t>Image_Carrousel</t>
        </is>
      </c>
    </row>
    <row r="149" ht="13.5" customHeight="1" s="109">
      <c r="A149" s="35" t="inlineStr">
        <is>
          <t>https://www.instagram.com/p/DVz-hXeD35V/</t>
        </is>
      </c>
      <c r="B149" s="35" t="inlineStr">
        <is>
          <t>Societe &amp; Droits</t>
        </is>
      </c>
      <c r="C149" s="35" t="inlineStr">
        <is>
          <t>Faits de societe</t>
        </is>
      </c>
      <c r="D149" s="36" t="n">
        <v>35</v>
      </c>
      <c r="E149" s="36" t="inlineStr">
        <is>
          <t>N</t>
        </is>
      </c>
      <c r="F149" s="35" t="inlineStr">
        <is>
          <t>Mise en avant d'une activiste pour les droits humains et le soulèvement populaire.</t>
        </is>
      </c>
      <c r="G149" s="36" t="inlineStr">
        <is>
          <t>Oui</t>
        </is>
      </c>
      <c r="H149" s="35" t="inlineStr">
        <is>
          <t>Manque de pluralisme, invite à partager d'autres perspectives.</t>
        </is>
      </c>
      <c r="I149" s="36" t="n">
        <v>1</v>
      </c>
      <c r="J149" s="36" t="n">
        <v>5</v>
      </c>
      <c r="K149" s="74">
        <f>IFERROR(I149/J149,0)</f>
        <v/>
      </c>
      <c r="L149" s="36" t="n">
        <v>80</v>
      </c>
      <c r="M149" s="36" t="n">
        <v>1041</v>
      </c>
      <c r="N149" s="36" t="n">
        <v>21983</v>
      </c>
      <c r="O149" s="35" t="inlineStr">
        <is>
          <t>Video</t>
        </is>
      </c>
    </row>
    <row r="150" ht="13.5" customHeight="1" s="109">
      <c r="A150" s="72" t="inlineStr">
        <is>
          <t>https://www.instagram.com/p/DV0ueFdD8kt/</t>
        </is>
      </c>
      <c r="B150" s="72" t="inlineStr">
        <is>
          <t>Sante</t>
        </is>
      </c>
      <c r="C150" s="72" t="inlineStr">
        <is>
          <t>Sante publique</t>
        </is>
      </c>
      <c r="D150" s="73" t="n">
        <v>50</v>
      </c>
      <c r="E150" s="73" t="inlineStr">
        <is>
          <t>N</t>
        </is>
      </c>
      <c r="F150" s="72" t="inlineStr">
        <is>
          <t>Présentation équilibrée des arguments gouvernementaux et des critiques de gauche.</t>
        </is>
      </c>
      <c r="G150" s="73" t="inlineStr">
        <is>
          <t>Non</t>
        </is>
      </c>
      <c r="H150" s="72" t="n"/>
      <c r="I150" s="73" t="n">
        <v>0</v>
      </c>
      <c r="J150" s="73" t="n">
        <v>9</v>
      </c>
      <c r="K150" s="74">
        <f>IFERROR(I150/J150,0)</f>
        <v/>
      </c>
      <c r="L150" s="73" t="n">
        <v>494</v>
      </c>
      <c r="M150" s="73" t="n">
        <v>5737</v>
      </c>
      <c r="N150" s="73" t="n">
        <v>0</v>
      </c>
      <c r="O150" s="72" t="inlineStr">
        <is>
          <t>Image_Carrousel</t>
        </is>
      </c>
    </row>
    <row r="151" ht="13.5" customHeight="1" s="109">
      <c r="A151" s="35" t="inlineStr">
        <is>
          <t>https://www.instagram.com/p/DV58DVSjGmj/</t>
        </is>
      </c>
      <c r="B151" s="35" t="inlineStr">
        <is>
          <t>Culture &amp; Loisirs</t>
        </is>
      </c>
      <c r="C151" s="35" t="inlineStr">
        <is>
          <t>Arts</t>
        </is>
      </c>
      <c r="D151" s="36" t="n">
        <v>40</v>
      </c>
      <c r="E151" s="36" t="inlineStr">
        <is>
          <t>N</t>
        </is>
      </c>
      <c r="F151" s="35" t="inlineStr">
        <is>
          <t>Média public rapportant un décès d'acteur avec une écriture inclusive.</t>
        </is>
      </c>
      <c r="G151" s="36" t="inlineStr">
        <is>
          <t>Non</t>
        </is>
      </c>
      <c r="H151" s="35" t="n"/>
      <c r="I151" s="36" t="n">
        <v>0</v>
      </c>
      <c r="J151" s="36" t="n">
        <v>10</v>
      </c>
      <c r="K151" s="74">
        <f>IFERROR(I151/J151,0)</f>
        <v/>
      </c>
      <c r="L151" s="36" t="n">
        <v>192</v>
      </c>
      <c r="M151" s="36" t="n">
        <v>7605</v>
      </c>
      <c r="N151" s="36" t="n">
        <v>0</v>
      </c>
      <c r="O151" s="35" t="inlineStr">
        <is>
          <t>Image_Carrousel</t>
        </is>
      </c>
    </row>
    <row r="152" ht="13.5" customHeight="1" s="109">
      <c r="A152" s="72" t="inlineStr">
        <is>
          <t>https://www.instagram.com/p/DVyefJngskS/</t>
        </is>
      </c>
      <c r="B152" s="72" t="inlineStr">
        <is>
          <t>Culture &amp; Loisirs</t>
        </is>
      </c>
      <c r="C152" s="72" t="inlineStr">
        <is>
          <t>Sport</t>
        </is>
      </c>
      <c r="D152" s="73" t="n">
        <v>60</v>
      </c>
      <c r="E152" s="73" t="inlineStr">
        <is>
          <t>N</t>
        </is>
      </c>
      <c r="F152" s="72" t="inlineStr">
        <is>
          <t>RTS, ton factuel. Rapporte une réussite financière individuelle sans critique systémique.</t>
        </is>
      </c>
      <c r="G152" s="73" t="inlineStr">
        <is>
          <t>Oui</t>
        </is>
      </c>
      <c r="H152" s="72" t="inlineStr">
        <is>
          <t>Un commentaire critique l'existence des milliardaires, sujet de l'article.</t>
        </is>
      </c>
      <c r="I152" s="73" t="n">
        <v>1</v>
      </c>
      <c r="J152" s="73" t="n">
        <v>6</v>
      </c>
      <c r="K152" s="74">
        <f>IFERROR(I152/J152,0)</f>
        <v/>
      </c>
      <c r="L152" s="73" t="n">
        <v>41</v>
      </c>
      <c r="M152" s="73" t="n">
        <v>5088</v>
      </c>
      <c r="N152" s="73" t="n">
        <v>0</v>
      </c>
      <c r="O152" s="72" t="inlineStr">
        <is>
          <t>Image_Carrousel</t>
        </is>
      </c>
    </row>
    <row r="153" ht="13.5" customHeight="1" s="109">
      <c r="A153" s="35" t="inlineStr">
        <is>
          <t>https://www.instagram.com/p/DV06iwHjlYS/</t>
        </is>
      </c>
      <c r="B153" s="35" t="inlineStr">
        <is>
          <t>International</t>
        </is>
      </c>
      <c r="C153" s="35" t="inlineStr">
        <is>
          <t>Geopolitique</t>
        </is>
      </c>
      <c r="D153" s="36" t="n">
        <v>45</v>
      </c>
      <c r="E153" s="36" t="inlineStr">
        <is>
          <t>N</t>
        </is>
      </c>
      <c r="F153" s="35" t="inlineStr">
        <is>
          <t>RTS est un média de service public, rapportant les faits politiques de manière équilibrée.</t>
        </is>
      </c>
      <c r="G153" s="36" t="inlineStr">
        <is>
          <t>Non</t>
        </is>
      </c>
      <c r="H153" s="35" t="n"/>
      <c r="I153" s="36" t="n">
        <v>0</v>
      </c>
      <c r="J153" s="36" t="n">
        <v>3</v>
      </c>
      <c r="K153" s="74">
        <f>IFERROR(I153/J153,0)</f>
        <v/>
      </c>
      <c r="L153" s="36" t="n">
        <v>79</v>
      </c>
      <c r="M153" s="36" t="n">
        <v>1289</v>
      </c>
      <c r="N153" s="36" t="n">
        <v>0</v>
      </c>
      <c r="O153" s="35" t="inlineStr">
        <is>
          <t>Image_Carrousel</t>
        </is>
      </c>
    </row>
    <row r="154" ht="13.5" customHeight="1" s="109">
      <c r="A154" s="72" t="inlineStr">
        <is>
          <t>https://www.instagram.com/p/DV0oNyODjpp/</t>
        </is>
      </c>
      <c r="B154" s="72" t="inlineStr">
        <is>
          <t>Societe &amp; Droits</t>
        </is>
      </c>
      <c r="C154" s="72" t="inlineStr">
        <is>
          <t>Faits de societe</t>
        </is>
      </c>
      <c r="D154" s="73" t="n">
        <v>35</v>
      </c>
      <c r="E154" s="73" t="inlineStr">
        <is>
          <t>G</t>
        </is>
      </c>
      <c r="F154" s="72" t="inlineStr">
        <is>
          <t>L'article cherche à comprendre l'auteur via son isolement social et psychologique.</t>
        </is>
      </c>
      <c r="G154" s="73" t="inlineStr">
        <is>
          <t>Oui</t>
        </is>
      </c>
      <c r="H154" s="72" t="inlineStr">
        <is>
          <t>Accusations de biais (nationalité) et de minimisation de la gravité des faits.</t>
        </is>
      </c>
      <c r="I154" s="73" t="n">
        <v>2</v>
      </c>
      <c r="J154" s="73" t="n">
        <v>6</v>
      </c>
      <c r="K154" s="74">
        <f>IFERROR(I154/J154,0)</f>
        <v/>
      </c>
      <c r="L154" s="73" t="n">
        <v>152</v>
      </c>
      <c r="M154" s="73" t="n">
        <v>4088</v>
      </c>
      <c r="N154" s="73" t="n">
        <v>0</v>
      </c>
      <c r="O154" s="72" t="inlineStr">
        <is>
          <t>Image_Carrousel</t>
        </is>
      </c>
    </row>
    <row r="155" ht="13.5" customHeight="1" s="109">
      <c r="A155" s="35" t="inlineStr">
        <is>
          <t>https://www.instagram.com/p/DV0FQPMGDex/</t>
        </is>
      </c>
      <c r="B155" s="35" t="inlineStr">
        <is>
          <t>Environnement &amp; Nature</t>
        </is>
      </c>
      <c r="C155" s="35" t="inlineStr">
        <is>
          <t>Climat / Ecologie</t>
        </is>
      </c>
      <c r="D155" s="36" t="n">
        <v>40</v>
      </c>
      <c r="E155" s="36" t="inlineStr">
        <is>
          <t>N</t>
        </is>
      </c>
      <c r="F155" s="35" t="inlineStr">
        <is>
          <t>Média public suisse, axé sur la protection de la biodiversité et le respect légal.</t>
        </is>
      </c>
      <c r="G155" s="36" t="inlineStr">
        <is>
          <t>Oui</t>
        </is>
      </c>
      <c r="H155" s="35" t="inlineStr">
        <is>
          <t>Un commentaire juge le titre du média imprécis et inadapté.</t>
        </is>
      </c>
      <c r="I155" s="36" t="n">
        <v>1</v>
      </c>
      <c r="J155" s="36" t="n">
        <v>10</v>
      </c>
      <c r="K155" s="74">
        <f>IFERROR(I155/J155,0)</f>
        <v/>
      </c>
      <c r="L155" s="36" t="n">
        <v>18</v>
      </c>
      <c r="M155" s="36" t="n">
        <v>3346</v>
      </c>
      <c r="N155" s="36" t="n">
        <v>0</v>
      </c>
      <c r="O155" s="35" t="inlineStr">
        <is>
          <t>Image_Carrousel</t>
        </is>
      </c>
    </row>
    <row r="156" ht="13.5" customHeight="1" s="109">
      <c r="A156" s="72" t="inlineStr">
        <is>
          <t>https://www.instagram.com/p/DV1L5v_iNX6/</t>
        </is>
      </c>
      <c r="B156" s="72" t="inlineStr">
        <is>
          <t>Societe &amp; Droits</t>
        </is>
      </c>
      <c r="C156" s="72" t="inlineStr">
        <is>
          <t>Faits de societe</t>
        </is>
      </c>
      <c r="D156" s="73" t="n">
        <v>45</v>
      </c>
      <c r="E156" s="73" t="inlineStr">
        <is>
          <t>N</t>
        </is>
      </c>
      <c r="F156" s="72" t="inlineStr">
        <is>
          <t>RTS est un média de service public, visant l'objectivité factuelle.</t>
        </is>
      </c>
      <c r="G156" s="73" t="inlineStr">
        <is>
          <t>Oui</t>
        </is>
      </c>
      <c r="H156" s="72" t="inlineStr">
        <is>
          <t>Un commentaire nuance l'information du média.</t>
        </is>
      </c>
      <c r="I156" s="73" t="n">
        <v>1</v>
      </c>
      <c r="J156" s="73" t="n">
        <v>9</v>
      </c>
      <c r="K156" s="74">
        <f>IFERROR(I156/J156,0)</f>
        <v/>
      </c>
      <c r="L156" s="73" t="n">
        <v>14</v>
      </c>
      <c r="M156" s="73" t="n">
        <v>1964</v>
      </c>
      <c r="N156" s="73" t="n">
        <v>0</v>
      </c>
      <c r="O156" s="72" t="inlineStr">
        <is>
          <t>Image_Carrousel</t>
        </is>
      </c>
    </row>
    <row r="157" ht="13.5" customHeight="1" s="109">
      <c r="A157" s="35" t="inlineStr">
        <is>
          <t>https://www.instagram.com/p/DVydji4CUix/</t>
        </is>
      </c>
      <c r="B157" s="35" t="inlineStr">
        <is>
          <t>International</t>
        </is>
      </c>
      <c r="C157" s="35" t="inlineStr">
        <is>
          <t>Conflits</t>
        </is>
      </c>
      <c r="D157" s="36" t="n">
        <v>30</v>
      </c>
      <c r="E157" s="36" t="inlineStr">
        <is>
          <t>G</t>
        </is>
      </c>
      <c r="F157" s="35" t="inlineStr">
        <is>
          <t>Focus sur victimes civiles et droit humanitaire, critiquant l'action militaire israélienne.</t>
        </is>
      </c>
      <c r="G157" s="36" t="inlineStr">
        <is>
          <t>Oui</t>
        </is>
      </c>
      <c r="H157" s="35" t="inlineStr">
        <is>
          <t>Un commentaire interroge le manque de dénonciation explicite du "nettoyage ethnique".</t>
        </is>
      </c>
      <c r="I157" s="36" t="n">
        <v>1</v>
      </c>
      <c r="J157" s="36" t="n">
        <v>8</v>
      </c>
      <c r="K157" s="74">
        <f>IFERROR(I157/J157,0)</f>
        <v/>
      </c>
      <c r="L157" s="36" t="n">
        <v>197</v>
      </c>
      <c r="M157" s="36" t="n">
        <v>3049</v>
      </c>
      <c r="N157" s="36" t="n">
        <v>0</v>
      </c>
      <c r="O157" s="35" t="inlineStr">
        <is>
          <t>Image_Carrousel</t>
        </is>
      </c>
    </row>
    <row r="158" ht="13.5" customHeight="1" s="109">
      <c r="A158" s="72" t="inlineStr">
        <is>
          <t>https://www.instagram.com/p/DVyJxkggLAC/</t>
        </is>
      </c>
      <c r="B158" s="72" t="inlineStr">
        <is>
          <t>Societe &amp; Droits</t>
        </is>
      </c>
      <c r="C158" s="72" t="inlineStr">
        <is>
          <t>Faits de societe</t>
        </is>
      </c>
      <c r="D158" s="73" t="n">
        <v>35</v>
      </c>
      <c r="E158" s="73" t="inlineStr">
        <is>
          <t>G</t>
        </is>
      </c>
      <c r="F158" s="72" t="inlineStr">
        <is>
          <t>Média de service public suisse, orienté centre-gauche.</t>
        </is>
      </c>
      <c r="G158" s="73" t="inlineStr">
        <is>
          <t>Non</t>
        </is>
      </c>
      <c r="H158" s="72" t="n"/>
      <c r="I158" s="73" t="n">
        <v>0</v>
      </c>
      <c r="J158" s="73" t="n">
        <v>4</v>
      </c>
      <c r="K158" s="74">
        <f>IFERROR(I158/J158,0)</f>
        <v/>
      </c>
      <c r="L158" s="73" t="n">
        <v>37</v>
      </c>
      <c r="M158" s="73" t="n">
        <v>1901</v>
      </c>
      <c r="N158" s="73" t="n">
        <v>0</v>
      </c>
      <c r="O158" s="72" t="inlineStr">
        <is>
          <t>Image_Carrousel</t>
        </is>
      </c>
    </row>
    <row r="159" ht="13.5" customHeight="1" s="109">
      <c r="A159" s="35" t="inlineStr">
        <is>
          <t>https://www.instagram.com/p/DVylePAjNEs/</t>
        </is>
      </c>
      <c r="B159" s="35" t="inlineStr">
        <is>
          <t>Societe &amp; Droits</t>
        </is>
      </c>
      <c r="C159" s="35" t="inlineStr">
        <is>
          <t>Faits de societe</t>
        </is>
      </c>
      <c r="D159" s="36" t="n">
        <v>35</v>
      </c>
      <c r="E159" s="36" t="inlineStr">
        <is>
          <t>G</t>
        </is>
      </c>
      <c r="F159" s="35" t="inlineStr">
        <is>
          <t>RTS, service public, aborde sujets sociaux avec une perspective interrogative.</t>
        </is>
      </c>
      <c r="G159" s="36" t="inlineStr">
        <is>
          <t>Oui</t>
        </is>
      </c>
      <c r="H159" s="35" t="inlineStr">
        <is>
          <t>Accusation = culpabilité médiatisée, ciblage injuste de Manson.</t>
        </is>
      </c>
      <c r="I159" s="36" t="n">
        <v>2</v>
      </c>
      <c r="J159" s="36" t="n">
        <v>8</v>
      </c>
      <c r="K159" s="74">
        <f>IFERROR(I159/J159,0)</f>
        <v/>
      </c>
      <c r="L159" s="36" t="n">
        <v>128</v>
      </c>
      <c r="M159" s="36" t="n">
        <v>2834</v>
      </c>
      <c r="N159" s="36" t="n">
        <v>0</v>
      </c>
      <c r="O159" s="35" t="inlineStr">
        <is>
          <t>Image_Carrousel</t>
        </is>
      </c>
    </row>
    <row r="160" ht="13.5" customHeight="1" s="109">
      <c r="A160" s="72" t="inlineStr">
        <is>
          <t>https://www.instagram.com/p/DVyy9F1j6iY/</t>
        </is>
      </c>
      <c r="B160" s="72" t="inlineStr">
        <is>
          <t>International</t>
        </is>
      </c>
      <c r="C160" s="72" t="inlineStr">
        <is>
          <t>Conflits</t>
        </is>
      </c>
      <c r="D160" s="73" t="n">
        <v>25</v>
      </c>
      <c r="E160" s="73" t="inlineStr">
        <is>
          <t>G</t>
        </is>
      </c>
      <c r="F160" s="72" t="inlineStr">
        <is>
          <t>Critique la politique étrangère américaine, souligne les victimes civiles et les erreurs militaires.</t>
        </is>
      </c>
      <c r="G160" s="73" t="inlineStr">
        <is>
          <t>Non</t>
        </is>
      </c>
      <c r="H160" s="72" t="inlineStr">
        <is>
          <t>Aucune critique du média.</t>
        </is>
      </c>
      <c r="I160" s="73" t="n">
        <v>0</v>
      </c>
      <c r="J160" s="73" t="n">
        <v>6</v>
      </c>
      <c r="K160" s="74">
        <f>IFERROR(I160/J160,0)</f>
        <v/>
      </c>
      <c r="L160" s="73" t="n">
        <v>261</v>
      </c>
      <c r="M160" s="73" t="n">
        <v>2434</v>
      </c>
      <c r="N160" s="73" t="n">
        <v>37231</v>
      </c>
      <c r="O160" s="72" t="inlineStr">
        <is>
          <t>Video</t>
        </is>
      </c>
    </row>
    <row r="161" ht="13.5" customHeight="1" s="109">
      <c r="A161" s="35" t="inlineStr">
        <is>
          <t>https://www.instagram.com/p/DVyC7L6Dc9L/</t>
        </is>
      </c>
      <c r="B161" s="35" t="inlineStr">
        <is>
          <t>Societe &amp; Droits</t>
        </is>
      </c>
      <c r="C161" s="35" t="inlineStr">
        <is>
          <t>Faits de societe</t>
        </is>
      </c>
      <c r="D161" s="36" t="n">
        <v>40</v>
      </c>
      <c r="E161" s="36" t="inlineStr">
        <is>
          <t>N</t>
        </is>
      </c>
      <c r="F161" s="35" t="inlineStr">
        <is>
          <t>RTS est un média de service public, cherchant l'objectivité et l'équilibre factuel.</t>
        </is>
      </c>
      <c r="G161" s="36" t="inlineStr">
        <is>
          <t>Non</t>
        </is>
      </c>
      <c r="H161" s="35" t="inlineStr">
        <is>
          <t>Aucune critique du media.</t>
        </is>
      </c>
      <c r="I161" s="36" t="n">
        <v>0</v>
      </c>
      <c r="J161" s="36" t="n">
        <v>10</v>
      </c>
      <c r="K161" s="74">
        <f>IFERROR(I161/J161,0)</f>
        <v/>
      </c>
      <c r="L161" s="36" t="n">
        <v>75</v>
      </c>
      <c r="M161" s="36" t="n">
        <v>5182</v>
      </c>
      <c r="N161" s="36" t="n">
        <v>71476</v>
      </c>
      <c r="O161" s="35" t="inlineStr">
        <is>
          <t>Video</t>
        </is>
      </c>
    </row>
    <row r="162" ht="13.5" customHeight="1" s="109">
      <c r="A162" s="72" t="inlineStr">
        <is>
          <t>https://www.instagram.com/p/DVyQfoGlMTt/</t>
        </is>
      </c>
      <c r="B162" s="72" t="inlineStr">
        <is>
          <t>Sante</t>
        </is>
      </c>
      <c r="C162" s="72" t="inlineStr">
        <is>
          <t>Sante publique</t>
        </is>
      </c>
      <c r="D162" s="73" t="n">
        <v>45</v>
      </c>
      <c r="E162" s="73" t="inlineStr">
        <is>
          <t>N</t>
        </is>
      </c>
      <c r="F162" s="72" t="inlineStr">
        <is>
          <t>Média de service public, neutre, focus sur l'information et la prévention.</t>
        </is>
      </c>
      <c r="G162" s="73" t="inlineStr">
        <is>
          <t>Oui</t>
        </is>
      </c>
      <c r="H162" s="72" t="inlineStr">
        <is>
          <t>Choix illustration et manque de rigueur scientifique critiqués.</t>
        </is>
      </c>
      <c r="I162" s="73" t="n">
        <v>1</v>
      </c>
      <c r="J162" s="73" t="n">
        <v>6</v>
      </c>
      <c r="K162" s="74">
        <f>IFERROR(I162/J162,0)</f>
        <v/>
      </c>
      <c r="L162" s="73" t="n">
        <v>57</v>
      </c>
      <c r="M162" s="73" t="n">
        <v>7815</v>
      </c>
      <c r="N162" s="73" t="n">
        <v>0</v>
      </c>
      <c r="O162" s="72" t="inlineStr">
        <is>
          <t>Image_Carrousel</t>
        </is>
      </c>
    </row>
    <row r="163" ht="13.5" customHeight="1" s="109">
      <c r="A163" s="35" t="inlineStr">
        <is>
          <t>https://www.instagram.com/p/DVv3yZeAgIv/</t>
        </is>
      </c>
      <c r="B163" s="35" t="inlineStr">
        <is>
          <t>International</t>
        </is>
      </c>
      <c r="C163" s="35" t="inlineStr">
        <is>
          <t>Conflits</t>
        </is>
      </c>
      <c r="D163" s="36" t="n">
        <v>55</v>
      </c>
      <c r="E163" s="36" t="inlineStr">
        <is>
          <t>N</t>
        </is>
      </c>
      <c r="F163" s="35" t="inlineStr">
        <is>
          <t>RTS, service public, rapporte divers points de vue sans parti pris éditorial.</t>
        </is>
      </c>
      <c r="G163" s="36" t="inlineStr">
        <is>
          <t>Non</t>
        </is>
      </c>
      <c r="H163" s="35" t="n"/>
      <c r="I163" s="36" t="n">
        <v>0</v>
      </c>
      <c r="J163" s="36" t="n">
        <v>7</v>
      </c>
      <c r="K163" s="74">
        <f>IFERROR(I163/J163,0)</f>
        <v/>
      </c>
      <c r="L163" s="36" t="n">
        <v>72</v>
      </c>
      <c r="M163" s="36" t="n">
        <v>3278</v>
      </c>
      <c r="N163" s="36" t="n">
        <v>0</v>
      </c>
      <c r="O163" s="35" t="inlineStr">
        <is>
          <t>Image_Carrousel</t>
        </is>
      </c>
    </row>
    <row r="164" ht="13.5" customHeight="1" s="109">
      <c r="A164" s="72" t="inlineStr">
        <is>
          <t>https://www.instagram.com/p/DVxgds0E2DT/</t>
        </is>
      </c>
      <c r="B164" s="72" t="inlineStr">
        <is>
          <t>Sante</t>
        </is>
      </c>
      <c r="C164" s="72" t="inlineStr">
        <is>
          <t>Sante publique</t>
        </is>
      </c>
      <c r="D164" s="73" t="n">
        <v>35</v>
      </c>
      <c r="E164" s="73" t="inlineStr">
        <is>
          <t>G</t>
        </is>
      </c>
      <c r="F164" s="72" t="inlineStr">
        <is>
          <t>Média public, sensibilisation santé publique, approche préventive et bien-être.</t>
        </is>
      </c>
      <c r="G164" s="73" t="inlineStr">
        <is>
          <t>Oui</t>
        </is>
      </c>
      <c r="H164" s="72" t="inlineStr">
        <is>
          <t>Remet en question l'exactitude technique ou le cadrage du sujet par le média.</t>
        </is>
      </c>
      <c r="I164" s="73" t="n">
        <v>2</v>
      </c>
      <c r="J164" s="73" t="n">
        <v>9</v>
      </c>
      <c r="K164" s="74">
        <f>IFERROR(I164/J164,0)</f>
        <v/>
      </c>
      <c r="L164" s="73" t="n">
        <v>31</v>
      </c>
      <c r="M164" s="73" t="n">
        <v>3448</v>
      </c>
      <c r="N164" s="73" t="n">
        <v>0</v>
      </c>
      <c r="O164" s="72" t="inlineStr">
        <is>
          <t>Image_Carrousel</t>
        </is>
      </c>
    </row>
    <row r="165" ht="13.5" customHeight="1" s="109">
      <c r="A165" s="35" t="inlineStr">
        <is>
          <t>https://www.instagram.com/p/DVxZqr9gebL/</t>
        </is>
      </c>
      <c r="B165" s="35" t="inlineStr">
        <is>
          <t>Societe &amp; Droits</t>
        </is>
      </c>
      <c r="C165" s="35" t="inlineStr">
        <is>
          <t>Faits de societe</t>
        </is>
      </c>
      <c r="D165" s="36" t="n">
        <v>35</v>
      </c>
      <c r="E165" s="36" t="inlineStr">
        <is>
          <t>N</t>
        </is>
      </c>
      <c r="F165" s="35" t="inlineStr">
        <is>
          <t>RTSinfo, média public, aborde un enjeu social de précarité en Suisse.</t>
        </is>
      </c>
      <c r="G165" s="36" t="inlineStr">
        <is>
          <t>Non</t>
        </is>
      </c>
      <c r="H165" s="35" t="inlineStr">
        <is>
          <t>Aucune critique directe du média</t>
        </is>
      </c>
      <c r="I165" s="36" t="n">
        <v>0</v>
      </c>
      <c r="J165" s="36" t="n">
        <v>4</v>
      </c>
      <c r="K165" s="74">
        <f>IFERROR(I165/J165,0)</f>
        <v/>
      </c>
      <c r="L165" s="36" t="n">
        <v>210</v>
      </c>
      <c r="M165" s="36" t="n">
        <v>3884</v>
      </c>
      <c r="N165" s="36" t="n">
        <v>0</v>
      </c>
      <c r="O165" s="35" t="inlineStr">
        <is>
          <t>Image_Carrousel</t>
        </is>
      </c>
    </row>
    <row r="166" ht="13.5" customHeight="1" s="109">
      <c r="A166" s="72" t="inlineStr">
        <is>
          <t>https://www.instagram.com/p/DVwi-p_ljRf/</t>
        </is>
      </c>
      <c r="B166" s="72" t="inlineStr">
        <is>
          <t>Securite &amp; Justice</t>
        </is>
      </c>
      <c r="C166" s="72" t="inlineStr">
        <is>
          <t>Ordre public</t>
        </is>
      </c>
      <c r="D166" s="73" t="n">
        <v>50</v>
      </c>
      <c r="E166" s="73" t="inlineStr">
        <is>
          <t>N</t>
        </is>
      </c>
      <c r="F166" s="72" t="inlineStr">
        <is>
          <t>RTS, média public, rapporte des faits tragiques de manière neutre, citant les autorités.</t>
        </is>
      </c>
      <c r="G166" s="73" t="inlineStr">
        <is>
          <t>Oui</t>
        </is>
      </c>
      <c r="H166" s="72" t="inlineStr">
        <is>
          <t>Pertinence nationalités questionnée et terme 'incendie' contesté.</t>
        </is>
      </c>
      <c r="I166" s="73" t="n">
        <v>2</v>
      </c>
      <c r="J166" s="73" t="n">
        <v>7</v>
      </c>
      <c r="K166" s="74">
        <f>IFERROR(I166/J166,0)</f>
        <v/>
      </c>
      <c r="L166" s="73" t="n">
        <v>82</v>
      </c>
      <c r="M166" s="73" t="n">
        <v>7706</v>
      </c>
      <c r="N166" s="73" t="n">
        <v>0</v>
      </c>
      <c r="O166" s="72" t="inlineStr">
        <is>
          <t>Image_Carrousel</t>
        </is>
      </c>
    </row>
    <row r="167" ht="13.5" customHeight="1" s="109">
      <c r="A167" s="35" t="inlineStr">
        <is>
          <t>https://www.instagram.com/p/DVwITjNghAK/</t>
        </is>
      </c>
      <c r="B167" s="35" t="inlineStr">
        <is>
          <t>Culture &amp; Loisirs</t>
        </is>
      </c>
      <c r="C167" s="35" t="inlineStr">
        <is>
          <t>Sport</t>
        </is>
      </c>
      <c r="D167" s="36" t="n">
        <v>50</v>
      </c>
      <c r="E167" s="36" t="inlineStr">
        <is>
          <t>N</t>
        </is>
      </c>
      <c r="F167" s="35" t="inlineStr">
        <is>
          <t>RTS, média public, rapporte factuellement sur le sport international.</t>
        </is>
      </c>
      <c r="G167" s="36" t="inlineStr">
        <is>
          <t>Non</t>
        </is>
      </c>
      <c r="H167" s="35" t="inlineStr">
        <is>
          <t>Aucune critique directe n'est formulée à l'encontre du média.</t>
        </is>
      </c>
      <c r="I167" s="36" t="n">
        <v>0</v>
      </c>
      <c r="J167" s="36" t="n">
        <v>6</v>
      </c>
      <c r="K167" s="74">
        <f>IFERROR(I167/J167,0)</f>
        <v/>
      </c>
      <c r="L167" s="36" t="n">
        <v>18</v>
      </c>
      <c r="M167" s="36" t="n">
        <v>3481</v>
      </c>
      <c r="N167" s="36" t="n">
        <v>35178</v>
      </c>
      <c r="O167" s="35" t="inlineStr">
        <is>
          <t>Video</t>
        </is>
      </c>
    </row>
    <row r="168" ht="13.5" customHeight="1" s="109">
      <c r="A168" s="72" t="inlineStr">
        <is>
          <t>https://www.instagram.com/p/DVxnWVOD1-p/</t>
        </is>
      </c>
      <c r="B168" s="72" t="inlineStr">
        <is>
          <t>Environnement &amp; Nature</t>
        </is>
      </c>
      <c r="C168" s="72" t="inlineStr">
        <is>
          <t>Climat / Ecologie</t>
        </is>
      </c>
      <c r="D168" s="73" t="n">
        <v>45</v>
      </c>
      <c r="E168" s="73" t="inlineStr">
        <is>
          <t>N</t>
        </is>
      </c>
      <c r="F168" s="72" t="inlineStr">
        <is>
          <t>Service public, vise la neutralité mais peut être perçu avec une légère inclinaison à gauche.</t>
        </is>
      </c>
      <c r="G168" s="73" t="inlineStr">
        <is>
          <t>Oui</t>
        </is>
      </c>
      <c r="H168" s="72" t="inlineStr">
        <is>
          <t>Remise en question de la qualification 'brutal' et de l'alarmisme.</t>
        </is>
      </c>
      <c r="I168" s="73" t="n">
        <v>2</v>
      </c>
      <c r="J168" s="73" t="n">
        <v>8</v>
      </c>
      <c r="K168" s="74">
        <f>IFERROR(I168/J168,0)</f>
        <v/>
      </c>
      <c r="L168" s="73" t="n">
        <v>60</v>
      </c>
      <c r="M168" s="73" t="n">
        <v>6353</v>
      </c>
      <c r="N168" s="73" t="n">
        <v>0</v>
      </c>
      <c r="O168" s="72" t="inlineStr">
        <is>
          <t>Image_Carrousel</t>
        </is>
      </c>
    </row>
    <row r="169" ht="13.5" customHeight="1" s="109">
      <c r="A169" s="35" t="inlineStr">
        <is>
          <t>https://www.instagram.com/p/DVvTqbcj3Qz/</t>
        </is>
      </c>
      <c r="B169" s="35" t="inlineStr">
        <is>
          <t>Economie &amp; Travail</t>
        </is>
      </c>
      <c r="C169" s="35" t="inlineStr">
        <is>
          <t>Consommation</t>
        </is>
      </c>
      <c r="D169" s="36" t="n">
        <v>45</v>
      </c>
      <c r="E169" s="36" t="inlineStr">
        <is>
          <t>N</t>
        </is>
      </c>
      <c r="F169" s="35" t="inlineStr">
        <is>
          <t>RTSinfo rapporte une hausse des primes d'assurance, soulignant un problème de consommation.</t>
        </is>
      </c>
      <c r="G169" s="36" t="inlineStr">
        <is>
          <t>Non</t>
        </is>
      </c>
      <c r="H169" s="35" t="inlineStr">
        <is>
          <t>Aucun commentaire ne critique directement le média ou son reportage.</t>
        </is>
      </c>
      <c r="I169" s="36" t="n">
        <v>0</v>
      </c>
      <c r="J169" s="36" t="n">
        <v>4</v>
      </c>
      <c r="K169" s="74">
        <f>IFERROR(I169/J169,0)</f>
        <v/>
      </c>
      <c r="L169" s="36" t="n">
        <v>68</v>
      </c>
      <c r="M169" s="36" t="n">
        <v>1674</v>
      </c>
      <c r="N169" s="36" t="n">
        <v>0</v>
      </c>
      <c r="O169" s="35" t="inlineStr">
        <is>
          <t>Image_Carrousel</t>
        </is>
      </c>
    </row>
    <row r="170" ht="13.5" customHeight="1" s="109">
      <c r="A170" s="72" t="inlineStr">
        <is>
          <t>https://www.instagram.com/p/DVvrAaJDoeu/</t>
        </is>
      </c>
      <c r="B170" s="72" t="inlineStr">
        <is>
          <t>Securite &amp; Justice</t>
        </is>
      </c>
      <c r="C170" s="72" t="inlineStr">
        <is>
          <t>Justice</t>
        </is>
      </c>
      <c r="D170" s="73" t="n">
        <v>50</v>
      </c>
      <c r="E170" s="73" t="inlineStr">
        <is>
          <t>N</t>
        </is>
      </c>
      <c r="F170" s="72" t="inlineStr">
        <is>
          <t>Reportage factuel sur une décision du Tribunal fédéral, sans parti pris apparent.</t>
        </is>
      </c>
      <c r="G170" s="73" t="inlineStr">
        <is>
          <t>Non</t>
        </is>
      </c>
      <c r="H170" s="72" t="n"/>
      <c r="I170" s="73" t="n">
        <v>0</v>
      </c>
      <c r="J170" s="73" t="n">
        <v>8</v>
      </c>
      <c r="K170" s="74">
        <f>IFERROR(I170/J170,0)</f>
        <v/>
      </c>
      <c r="L170" s="73" t="n">
        <v>175</v>
      </c>
      <c r="M170" s="73" t="n">
        <v>9344</v>
      </c>
      <c r="N170" s="73" t="n">
        <v>0</v>
      </c>
      <c r="O170" s="72" t="inlineStr">
        <is>
          <t>Image_Carrousel</t>
        </is>
      </c>
    </row>
    <row r="171" ht="13.5" customHeight="1" s="109">
      <c r="A171" s="35" t="inlineStr">
        <is>
          <t>https://www.instagram.com/p/DWJ-GYsDXop/</t>
        </is>
      </c>
      <c r="B171" s="35" t="inlineStr">
        <is>
          <t>Economie &amp; Travail</t>
        </is>
      </c>
      <c r="C171" s="35" t="inlineStr">
        <is>
          <t>Agriculture</t>
        </is>
      </c>
      <c r="D171" s="36" t="n">
        <v>40</v>
      </c>
      <c r="E171" s="36" t="inlineStr">
        <is>
          <t>N</t>
        </is>
      </c>
      <c r="F171" s="35" t="inlineStr">
        <is>
          <t>RTS, service public, vise la neutralité mais peut être perçu légèrement centre-gauche.</t>
        </is>
      </c>
      <c r="G171" s="36" t="inlineStr">
        <is>
          <t>Non</t>
        </is>
      </c>
      <c r="H171" s="35" t="n"/>
      <c r="I171" s="36" t="n">
        <v>0</v>
      </c>
      <c r="J171" s="36" t="n">
        <v>9</v>
      </c>
      <c r="K171" s="74">
        <f>IFERROR(I171/J171,0)</f>
        <v/>
      </c>
      <c r="L171" s="36" t="n">
        <v>84</v>
      </c>
      <c r="M171" s="36" t="n">
        <v>6996</v>
      </c>
      <c r="N171" s="36" t="n">
        <v>129340</v>
      </c>
      <c r="O171" s="35" t="inlineStr">
        <is>
          <t>Video</t>
        </is>
      </c>
    </row>
    <row r="172" ht="13.5" customHeight="1" s="109">
      <c r="A172" s="72" t="inlineStr">
        <is>
          <t>https://www.instagram.com/p/DVvzrB3jfWX/</t>
        </is>
      </c>
      <c r="B172" s="72" t="inlineStr">
        <is>
          <t>International</t>
        </is>
      </c>
      <c r="C172" s="72" t="inlineStr">
        <is>
          <t>Conflits</t>
        </is>
      </c>
      <c r="D172" s="73" t="n">
        <v>50</v>
      </c>
      <c r="E172" s="73" t="inlineStr">
        <is>
          <t>N</t>
        </is>
      </c>
      <c r="F172" s="72" t="inlineStr">
        <is>
          <t>Reportage factuel sur une décision gouvernementale et une situation internationale.</t>
        </is>
      </c>
      <c r="G172" s="73" t="inlineStr">
        <is>
          <t>Oui</t>
        </is>
      </c>
      <c r="H172" s="72" t="inlineStr">
        <is>
          <t>Nombre de commentaires affiché incorrect.</t>
        </is>
      </c>
      <c r="I172" s="73" t="n">
        <v>1</v>
      </c>
      <c r="J172" s="73" t="n">
        <v>7</v>
      </c>
      <c r="K172" s="74">
        <f>IFERROR(I172/J172,0)</f>
        <v/>
      </c>
      <c r="L172" s="73" t="n">
        <v>20</v>
      </c>
      <c r="M172" s="73" t="n">
        <v>2640</v>
      </c>
      <c r="N172" s="73" t="n">
        <v>0</v>
      </c>
      <c r="O172" s="72" t="inlineStr">
        <is>
          <t>Image_Carrousel</t>
        </is>
      </c>
    </row>
    <row r="173" ht="13.5" customHeight="1" s="109">
      <c r="A173" s="35" t="inlineStr">
        <is>
          <t>https://www.instagram.com/p/DVvk4Q9DQB2/</t>
        </is>
      </c>
      <c r="B173" s="35" t="inlineStr">
        <is>
          <t>Culture &amp; Loisirs</t>
        </is>
      </c>
      <c r="C173" s="35" t="inlineStr">
        <is>
          <t>Arts</t>
        </is>
      </c>
      <c r="D173" s="36" t="n">
        <v>40</v>
      </c>
      <c r="E173" s="36" t="inlineStr">
        <is>
          <t>Neutre</t>
        </is>
      </c>
      <c r="F173" s="35" t="inlineStr">
        <is>
          <t>Média public, informe sur un événement culturel avec un thème social.</t>
        </is>
      </c>
      <c r="G173" s="36" t="inlineStr">
        <is>
          <t>Oui</t>
        </is>
      </c>
      <c r="H173" s="35" t="inlineStr">
        <is>
          <t>La chanson serait déjà sortie, information implicite du média remise en question.</t>
        </is>
      </c>
      <c r="I173" s="36" t="n">
        <v>1</v>
      </c>
      <c r="J173" s="36" t="n">
        <v>6</v>
      </c>
      <c r="K173" s="74">
        <f>IFERROR(I173/J173,0)</f>
        <v/>
      </c>
      <c r="L173" s="36" t="n">
        <v>6</v>
      </c>
      <c r="M173" s="36" t="n">
        <v>952</v>
      </c>
      <c r="N173" s="36" t="n">
        <v>0</v>
      </c>
      <c r="O173" s="35" t="inlineStr">
        <is>
          <t>Image_Carrousel</t>
        </is>
      </c>
    </row>
    <row r="174" ht="13.5" customHeight="1" s="109">
      <c r="A174" s="72" t="inlineStr">
        <is>
          <t>https://www.instagram.com/p/DVvfq1PgpXN/</t>
        </is>
      </c>
      <c r="B174" s="72" t="inlineStr">
        <is>
          <t>Securite &amp; Justice</t>
        </is>
      </c>
      <c r="C174" s="72" t="inlineStr">
        <is>
          <t>Ordre public</t>
        </is>
      </c>
      <c r="D174" s="73" t="n">
        <v>45</v>
      </c>
      <c r="E174" s="73" t="inlineStr">
        <is>
          <t>N</t>
        </is>
      </c>
      <c r="F174" s="72" t="inlineStr">
        <is>
          <t>Média public, factuel, légérement orienté à gauche sur certains sujets.</t>
        </is>
      </c>
      <c r="G174" s="73" t="inlineStr">
        <is>
          <t>Non</t>
        </is>
      </c>
      <c r="H174" s="72" t="n"/>
      <c r="I174" s="73" t="n">
        <v>0</v>
      </c>
      <c r="J174" s="73" t="n">
        <v>7</v>
      </c>
      <c r="K174" s="74">
        <f>IFERROR(I174/J174,0)</f>
        <v/>
      </c>
      <c r="L174" s="73" t="n">
        <v>40</v>
      </c>
      <c r="M174" s="73" t="n">
        <v>3080</v>
      </c>
      <c r="N174" s="73" t="n">
        <v>64623</v>
      </c>
      <c r="O174" s="72" t="inlineStr">
        <is>
          <t>Video</t>
        </is>
      </c>
    </row>
    <row r="175" ht="13.5" customHeight="1" s="109">
      <c r="A175" s="35" t="inlineStr">
        <is>
          <t>https://www.instagram.com/p/DVwU6uhAem6/</t>
        </is>
      </c>
      <c r="B175" s="35" t="inlineStr">
        <is>
          <t>Economie &amp; Travail</t>
        </is>
      </c>
      <c r="C175" s="35" t="inlineStr">
        <is>
          <t>Consommation</t>
        </is>
      </c>
      <c r="D175" s="36" t="n">
        <v>45</v>
      </c>
      <c r="E175" s="36" t="inlineStr">
        <is>
          <t>N</t>
        </is>
      </c>
      <c r="F175" s="35" t="inlineStr">
        <is>
          <t>Média de service public, vise l'équilibre, souvent perçu comme légèrement centriste-gauche.</t>
        </is>
      </c>
      <c r="G175" s="36" t="inlineStr">
        <is>
          <t>Non</t>
        </is>
      </c>
      <c r="H175" s="35" t="n"/>
      <c r="I175" s="36" t="n">
        <v>0</v>
      </c>
      <c r="J175" s="36" t="n">
        <v>5</v>
      </c>
      <c r="K175" s="74">
        <f>IFERROR(I175/J175,0)</f>
        <v/>
      </c>
      <c r="L175" s="36" t="n">
        <v>58</v>
      </c>
      <c r="M175" s="36" t="n">
        <v>5689</v>
      </c>
      <c r="N175" s="36" t="n">
        <v>0</v>
      </c>
      <c r="O175" s="35" t="inlineStr">
        <is>
          <t>Image_Carrousel</t>
        </is>
      </c>
    </row>
    <row r="176" ht="13.5" customHeight="1" s="109">
      <c r="A176" s="72" t="inlineStr">
        <is>
          <t>https://www.instagram.com/p/DVwEvJiAIG3/</t>
        </is>
      </c>
      <c r="B176" s="72" t="inlineStr">
        <is>
          <t>Securite &amp; Justice</t>
        </is>
      </c>
      <c r="C176" s="72" t="inlineStr">
        <is>
          <t>Justice</t>
        </is>
      </c>
      <c r="D176" s="73" t="n">
        <v>35</v>
      </c>
      <c r="E176" s="73" t="inlineStr">
        <is>
          <t>G</t>
        </is>
      </c>
      <c r="F176" s="72" t="inlineStr">
        <is>
          <t>Média public suisse, réputé pour son approche factuelle et de service public.</t>
        </is>
      </c>
      <c r="G176" s="73" t="inlineStr">
        <is>
          <t>Non</t>
        </is>
      </c>
      <c r="H176" s="72" t="n"/>
      <c r="I176" s="73" t="n">
        <v>0</v>
      </c>
      <c r="J176" s="73" t="n">
        <v>5</v>
      </c>
      <c r="K176" s="74">
        <f>IFERROR(I176/J176,0)</f>
        <v/>
      </c>
      <c r="L176" s="73" t="n">
        <v>109</v>
      </c>
      <c r="M176" s="73" t="n">
        <v>5854</v>
      </c>
      <c r="N176" s="73" t="n">
        <v>93136</v>
      </c>
      <c r="O176" s="72" t="inlineStr">
        <is>
          <t>Video</t>
        </is>
      </c>
    </row>
    <row r="177" ht="13.5" customHeight="1" s="109">
      <c r="A177" s="35" t="inlineStr">
        <is>
          <t>https://www.instagram.com/p/DVx4dg3CYsQ/</t>
        </is>
      </c>
      <c r="B177" s="35" t="inlineStr">
        <is>
          <t>Securite &amp; Justice</t>
        </is>
      </c>
      <c r="C177" s="35" t="inlineStr">
        <is>
          <t>Justice</t>
        </is>
      </c>
      <c r="D177" s="36" t="n">
        <v>45</v>
      </c>
      <c r="E177" s="36" t="inlineStr">
        <is>
          <t>N</t>
        </is>
      </c>
      <c r="F177" s="35" t="inlineStr">
        <is>
          <t>RTS et BBC sont des medias publics avec un ton neutre et factuel.</t>
        </is>
      </c>
      <c r="G177" s="36" t="inlineStr">
        <is>
          <t>Oui</t>
        </is>
      </c>
      <c r="H177" s="35" t="inlineStr">
        <is>
          <t>Biais de sélection, préférant faits divers people aux sujets de fond.</t>
        </is>
      </c>
      <c r="I177" s="36" t="n">
        <v>3</v>
      </c>
      <c r="J177" s="36" t="n">
        <v>9</v>
      </c>
      <c r="K177" s="74">
        <f>IFERROR(I177/J177,0)</f>
        <v/>
      </c>
      <c r="L177" s="36" t="n">
        <v>12</v>
      </c>
      <c r="M177" s="36" t="n">
        <v>5748</v>
      </c>
      <c r="N177" s="36" t="n">
        <v>0</v>
      </c>
      <c r="O177" s="35" t="inlineStr">
        <is>
          <t>Image_Carrousel</t>
        </is>
      </c>
    </row>
    <row r="178" ht="13.5" customHeight="1" s="109">
      <c r="A178" s="72" t="inlineStr">
        <is>
          <t>https://www.instagram.com/p/DVvE-0TDoH4/</t>
        </is>
      </c>
      <c r="B178" s="72" t="inlineStr">
        <is>
          <t>Securite &amp; Justice</t>
        </is>
      </c>
      <c r="C178" s="72" t="inlineStr">
        <is>
          <t>Ordre public</t>
        </is>
      </c>
      <c r="D178" s="73" t="n">
        <v>55</v>
      </c>
      <c r="E178" s="73" t="inlineStr">
        <is>
          <t>N</t>
        </is>
      </c>
      <c r="F178" s="72" t="inlineStr">
        <is>
          <t>RTS, média public, rapporte faits officiels sans prendre position.</t>
        </is>
      </c>
      <c r="G178" s="73" t="inlineStr">
        <is>
          <t>Non</t>
        </is>
      </c>
      <c r="H178" s="72" t="n"/>
      <c r="I178" s="73" t="n">
        <v>0</v>
      </c>
      <c r="J178" s="73" t="n">
        <v>4</v>
      </c>
      <c r="K178" s="74">
        <f>IFERROR(I178/J178,0)</f>
        <v/>
      </c>
      <c r="L178" s="73" t="n">
        <v>98</v>
      </c>
      <c r="M178" s="73" t="n">
        <v>6534</v>
      </c>
      <c r="N178" s="73" t="n">
        <v>0</v>
      </c>
      <c r="O178" s="72" t="inlineStr">
        <is>
          <t>Image_Carrousel</t>
        </is>
      </c>
    </row>
    <row r="179" ht="13.5" customHeight="1" s="109">
      <c r="A179" s="35" t="inlineStr">
        <is>
          <t>https://www.instagram.com/p/DVwMMeBjGfD/</t>
        </is>
      </c>
      <c r="B179" s="35" t="inlineStr">
        <is>
          <t>Culture &amp; Loisirs</t>
        </is>
      </c>
      <c r="C179" s="35" t="inlineStr">
        <is>
          <t>Medias</t>
        </is>
      </c>
      <c r="D179" s="36" t="n">
        <v>50</v>
      </c>
      <c r="E179" s="36" t="inlineStr">
        <is>
          <t>N</t>
        </is>
      </c>
      <c r="F179" s="35" t="inlineStr">
        <is>
          <t>Service public suisse, cherche équilibre et variété thématique dans ses programmes légers.</t>
        </is>
      </c>
      <c r="G179" s="36" t="inlineStr">
        <is>
          <t>Oui</t>
        </is>
      </c>
      <c r="H179" s="35" t="inlineStr">
        <is>
          <t>Choix du sujet (expo suisse) perçu comme de mauvaise qualité.</t>
        </is>
      </c>
      <c r="I179" s="36" t="n">
        <v>1</v>
      </c>
      <c r="J179" s="36" t="n">
        <v>7</v>
      </c>
      <c r="K179" s="74">
        <f>IFERROR(I179/J179,0)</f>
        <v/>
      </c>
      <c r="L179" s="36" t="n">
        <v>33</v>
      </c>
      <c r="M179" s="36" t="n">
        <v>3701</v>
      </c>
      <c r="N179" s="36" t="n">
        <v>0</v>
      </c>
      <c r="O179" s="35" t="inlineStr">
        <is>
          <t>Image_Carrousel</t>
        </is>
      </c>
    </row>
    <row r="180" ht="13.5" customHeight="1" s="109">
      <c r="A180" s="72" t="inlineStr">
        <is>
          <t>https://www.instagram.com/p/DVt5FnekZRD/</t>
        </is>
      </c>
      <c r="B180" s="72" t="inlineStr">
        <is>
          <t>Securite &amp; Justice</t>
        </is>
      </c>
      <c r="C180" s="72" t="inlineStr">
        <is>
          <t>Ordre public</t>
        </is>
      </c>
      <c r="D180" s="73" t="n">
        <v>50</v>
      </c>
      <c r="E180" s="73" t="inlineStr">
        <is>
          <t>N</t>
        </is>
      </c>
      <c r="F180" s="72" t="inlineStr">
        <is>
          <t>Média public, rapporte les faits d'un incident avec des informations vérifiées et un langage inclusif.</t>
        </is>
      </c>
      <c r="G180" s="73" t="inlineStr">
        <is>
          <t>Non</t>
        </is>
      </c>
      <c r="H180" s="72" t="inlineStr">
        <is>
          <t>Aucune critique directe du média par les commentateurs.</t>
        </is>
      </c>
      <c r="I180" s="73" t="n">
        <v>0</v>
      </c>
      <c r="J180" s="73" t="n">
        <v>8</v>
      </c>
      <c r="K180" s="74">
        <f>IFERROR(I180/J180,0)</f>
        <v/>
      </c>
      <c r="L180" s="73" t="n">
        <v>57</v>
      </c>
      <c r="M180" s="73" t="n">
        <v>4723</v>
      </c>
      <c r="N180" s="73" t="n">
        <v>0</v>
      </c>
      <c r="O180" s="72" t="inlineStr">
        <is>
          <t>Image_Carrousel</t>
        </is>
      </c>
    </row>
    <row r="181" ht="13.5" customHeight="1" s="109">
      <c r="A181" s="35" t="inlineStr">
        <is>
          <t>https://www.instagram.com/p/DVtlRP9jNtn/</t>
        </is>
      </c>
      <c r="B181" s="35" t="inlineStr">
        <is>
          <t>Culture &amp; Loisirs</t>
        </is>
      </c>
      <c r="C181" s="35" t="inlineStr">
        <is>
          <t>Arts</t>
        </is>
      </c>
      <c r="D181" s="36" t="n">
        <v>45</v>
      </c>
      <c r="E181" s="36" t="inlineStr">
        <is>
          <t>N</t>
        </is>
      </c>
      <c r="F181" s="35" t="inlineStr">
        <is>
          <t>Média public suisse au contenu varié et ton accessible, légèrement orienté social.</t>
        </is>
      </c>
      <c r="G181" s="36" t="inlineStr">
        <is>
          <t>Oui</t>
        </is>
      </c>
      <c r="H181" s="35" t="inlineStr">
        <is>
          <t>Contenu jugé futile, ton perçu condescendant.</t>
        </is>
      </c>
      <c r="I181" s="36" t="n">
        <v>2</v>
      </c>
      <c r="J181" s="36" t="n">
        <v>4</v>
      </c>
      <c r="K181" s="74">
        <f>IFERROR(I181/J181,0)</f>
        <v/>
      </c>
      <c r="L181" s="36" t="n">
        <v>27</v>
      </c>
      <c r="M181" s="36" t="n">
        <v>2068</v>
      </c>
      <c r="N181" s="36" t="n">
        <v>0</v>
      </c>
      <c r="O181" s="35" t="inlineStr">
        <is>
          <t>Image_Carrousel</t>
        </is>
      </c>
    </row>
    <row r="182" ht="13.5" customHeight="1" s="109">
      <c r="A182" s="72" t="inlineStr">
        <is>
          <t>https://www.instagram.com/p/DVtXPxvDIkU/</t>
        </is>
      </c>
      <c r="B182" s="72" t="inlineStr">
        <is>
          <t>Politique &amp; Institutions</t>
        </is>
      </c>
      <c r="C182" s="72" t="inlineStr">
        <is>
          <t>Autorites</t>
        </is>
      </c>
      <c r="D182" s="73" t="n">
        <v>40</v>
      </c>
      <c r="E182" s="73" t="inlineStr">
        <is>
          <t>N</t>
        </is>
      </c>
      <c r="F182" s="72" t="inlineStr">
        <is>
          <t>RTS est un média de service public, rapport factuel sur décision des autorités.</t>
        </is>
      </c>
      <c r="G182" s="73" t="inlineStr">
        <is>
          <t>Oui</t>
        </is>
      </c>
      <c r="H182" s="72" t="inlineStr">
        <is>
          <t>Un commentaire reproche un manque de profondeur/transparence du récit médiatique.</t>
        </is>
      </c>
      <c r="I182" s="73" t="n">
        <v>1</v>
      </c>
      <c r="J182" s="73" t="n">
        <v>11</v>
      </c>
      <c r="K182" s="74">
        <f>IFERROR(I182/J182,0)</f>
        <v/>
      </c>
      <c r="L182" s="73" t="n">
        <v>46</v>
      </c>
      <c r="M182" s="73" t="n">
        <v>2114</v>
      </c>
      <c r="N182" s="73" t="n">
        <v>0</v>
      </c>
      <c r="O182" s="72" t="inlineStr">
        <is>
          <t>Image_Carrousel</t>
        </is>
      </c>
    </row>
    <row r="183" ht="13.5" customHeight="1" s="109">
      <c r="A183" s="35" t="inlineStr">
        <is>
          <t>https://www.instagram.com/p/DVuDywIgBJ-/</t>
        </is>
      </c>
      <c r="B183" s="35" t="inlineStr">
        <is>
          <t>Securite &amp; Justice</t>
        </is>
      </c>
      <c r="C183" s="35" t="inlineStr">
        <is>
          <t>Ordre public</t>
        </is>
      </c>
      <c r="D183" s="36" t="n">
        <v>50</v>
      </c>
      <c r="E183" s="36" t="inlineStr">
        <is>
          <t>N</t>
        </is>
      </c>
      <c r="F183" s="35" t="inlineStr">
        <is>
          <t>RTS rapporte des faits et les actions des autorités, ton neutre.</t>
        </is>
      </c>
      <c r="G183" s="36" t="inlineStr">
        <is>
          <t>Non</t>
        </is>
      </c>
      <c r="H183" s="35" t="n"/>
      <c r="I183" s="36" t="n">
        <v>0</v>
      </c>
      <c r="J183" s="36" t="n">
        <v>2</v>
      </c>
      <c r="K183" s="74">
        <f>IFERROR(I183/J183,0)</f>
        <v/>
      </c>
      <c r="L183" s="36" t="n">
        <v>95</v>
      </c>
      <c r="M183" s="36" t="n">
        <v>5720</v>
      </c>
      <c r="N183" s="36" t="n">
        <v>0</v>
      </c>
      <c r="O183" s="35" t="inlineStr">
        <is>
          <t>Image_Carrousel</t>
        </is>
      </c>
    </row>
    <row r="184" ht="13.5" customHeight="1" s="109">
      <c r="A184" s="72" t="inlineStr">
        <is>
          <t>https://www.instagram.com/p/DVtpSC1mG4g/</t>
        </is>
      </c>
      <c r="B184" s="72" t="inlineStr">
        <is>
          <t>Politique &amp; Institutions</t>
        </is>
      </c>
      <c r="C184" s="72" t="inlineStr">
        <is>
          <t>Vie politique CH</t>
        </is>
      </c>
      <c r="D184" s="73" t="n">
        <v>50</v>
      </c>
      <c r="E184" s="73" t="inlineStr">
        <is>
          <t>N</t>
        </is>
      </c>
      <c r="F184" s="72" t="inlineStr">
        <is>
          <t>Média de service public réputé neutre et factuel dans son traitement de l'information.</t>
        </is>
      </c>
      <c r="G184" s="73" t="inlineStr">
        <is>
          <t>Oui</t>
        </is>
      </c>
      <c r="H184" s="72" t="inlineStr">
        <is>
          <t>Soupçon d'omission d'information clé par le média.</t>
        </is>
      </c>
      <c r="I184" s="73" t="n">
        <v>1</v>
      </c>
      <c r="J184" s="73" t="n">
        <v>9</v>
      </c>
      <c r="K184" s="74">
        <f>IFERROR(I184/J184,0)</f>
        <v/>
      </c>
      <c r="L184" s="73" t="n">
        <v>120</v>
      </c>
      <c r="M184" s="73" t="n">
        <v>4321</v>
      </c>
      <c r="N184" s="73" t="n">
        <v>0</v>
      </c>
      <c r="O184" s="72" t="inlineStr">
        <is>
          <t>Image_Carrousel</t>
        </is>
      </c>
    </row>
    <row r="185" ht="13.5" customHeight="1" s="109">
      <c r="A185" s="35" t="inlineStr">
        <is>
          <t>https://www.instagram.com/p/DVrEb0xjHwG/</t>
        </is>
      </c>
      <c r="B185" s="35" t="inlineStr">
        <is>
          <t>Economie &amp; Travail</t>
        </is>
      </c>
      <c r="C185" s="35" t="inlineStr">
        <is>
          <t>Agriculture</t>
        </is>
      </c>
      <c r="D185" s="36" t="n">
        <v>50</v>
      </c>
      <c r="E185" s="36" t="inlineStr">
        <is>
          <t>N</t>
        </is>
      </c>
      <c r="F185" s="35" t="inlineStr">
        <is>
          <t>Média public, rapports factuels sur l'agriculture et l'économie.</t>
        </is>
      </c>
      <c r="G185" s="36" t="inlineStr">
        <is>
          <t>Oui</t>
        </is>
      </c>
      <c r="H185" s="35" t="inlineStr">
        <is>
          <t>Un commentaire questionne la cohérence des informations passées du média.</t>
        </is>
      </c>
      <c r="I185" s="36" t="n">
        <v>1</v>
      </c>
      <c r="J185" s="36" t="n">
        <v>10</v>
      </c>
      <c r="K185" s="74">
        <f>IFERROR(I185/J185,0)</f>
        <v/>
      </c>
      <c r="L185" s="36" t="n">
        <v>19</v>
      </c>
      <c r="M185" s="36" t="n">
        <v>3292</v>
      </c>
      <c r="N185" s="36" t="n">
        <v>0</v>
      </c>
      <c r="O185" s="35" t="inlineStr">
        <is>
          <t>Image_Carrousel</t>
        </is>
      </c>
    </row>
    <row r="186" ht="13.5" customHeight="1" s="109">
      <c r="A186" s="72" t="inlineStr">
        <is>
          <t>https://www.instagram.com/p/DVu0yoODACm/</t>
        </is>
      </c>
      <c r="B186" s="72" t="inlineStr">
        <is>
          <t>Environnement &amp; Nature</t>
        </is>
      </c>
      <c r="C186" s="72" t="inlineStr">
        <is>
          <t>Climat / Ecologie</t>
        </is>
      </c>
      <c r="D186" s="73" t="n">
        <v>50</v>
      </c>
      <c r="E186" s="73" t="inlineStr">
        <is>
          <t>N</t>
        </is>
      </c>
      <c r="F186" s="72" t="inlineStr">
        <is>
          <t>Média de service public, cherche l'objectivité et l'information équilibrée.</t>
        </is>
      </c>
      <c r="G186" s="73" t="inlineStr">
        <is>
          <t>Non</t>
        </is>
      </c>
      <c r="H186" s="72" t="n"/>
      <c r="I186" s="73" t="n">
        <v>0</v>
      </c>
      <c r="J186" s="73" t="n">
        <v>10</v>
      </c>
      <c r="K186" s="74">
        <f>IFERROR(I186/J186,0)</f>
        <v/>
      </c>
      <c r="L186" s="73" t="n">
        <v>31</v>
      </c>
      <c r="M186" s="73" t="n">
        <v>8622</v>
      </c>
      <c r="N186" s="73" t="n">
        <v>0</v>
      </c>
      <c r="O186" s="72" t="inlineStr">
        <is>
          <t>Image_Carrousel</t>
        </is>
      </c>
    </row>
    <row r="187" ht="13.5" customHeight="1" s="109">
      <c r="A187" s="35" t="inlineStr">
        <is>
          <t>https://www.instagram.com/p/DVthy56goT4/</t>
        </is>
      </c>
      <c r="B187" s="35" t="inlineStr">
        <is>
          <t>Culture &amp; Loisirs</t>
        </is>
      </c>
      <c r="C187" s="35" t="inlineStr">
        <is>
          <t>Sport</t>
        </is>
      </c>
      <c r="D187" s="36" t="n">
        <v>40</v>
      </c>
      <c r="E187" s="36" t="inlineStr">
        <is>
          <t>N</t>
        </is>
      </c>
      <c r="F187" s="35" t="inlineStr">
        <is>
          <t>RTS couvre un parcours inspirant d'une femme athlète sans biais politique.</t>
        </is>
      </c>
      <c r="G187" s="36" t="inlineStr">
        <is>
          <t>Non</t>
        </is>
      </c>
      <c r="H187" s="35" t="n"/>
      <c r="I187" s="36" t="n">
        <v>0</v>
      </c>
      <c r="J187" s="36" t="n">
        <v>10</v>
      </c>
      <c r="K187" s="74">
        <f>IFERROR(I187/J187,0)</f>
        <v/>
      </c>
      <c r="L187" s="36" t="n">
        <v>90</v>
      </c>
      <c r="M187" s="36" t="n">
        <v>17812</v>
      </c>
      <c r="N187" s="36" t="n">
        <v>131194</v>
      </c>
      <c r="O187" s="35" t="inlineStr">
        <is>
          <t>Video</t>
        </is>
      </c>
    </row>
    <row r="188" ht="13.5" customHeight="1" s="109">
      <c r="A188" s="72" t="inlineStr">
        <is>
          <t>https://www.instagram.com/p/DVrLcytjSJJ/</t>
        </is>
      </c>
      <c r="B188" s="72" t="inlineStr">
        <is>
          <t>Economie &amp; Travail</t>
        </is>
      </c>
      <c r="C188" s="72" t="inlineStr">
        <is>
          <t>Consommation</t>
        </is>
      </c>
      <c r="D188" s="73" t="n">
        <v>40</v>
      </c>
      <c r="E188" s="73" t="inlineStr">
        <is>
          <t>N</t>
        </is>
      </c>
      <c r="F188" s="72" t="inlineStr">
        <is>
          <t>Média de service public, sujet révélant les excès du luxe.</t>
        </is>
      </c>
      <c r="G188" s="73" t="inlineStr">
        <is>
          <t>Oui</t>
        </is>
      </c>
      <c r="H188" s="72" t="inlineStr">
        <is>
          <t>Critique du contenu jugé creux, sujet futile, dépenses inutiles.</t>
        </is>
      </c>
      <c r="I188" s="73" t="n">
        <v>3</v>
      </c>
      <c r="J188" s="73" t="n">
        <v>8</v>
      </c>
      <c r="K188" s="74">
        <f>IFERROR(I188/J188,0)</f>
        <v/>
      </c>
      <c r="L188" s="73" t="n">
        <v>33</v>
      </c>
      <c r="M188" s="73" t="n">
        <v>3846</v>
      </c>
      <c r="N188" s="73" t="n">
        <v>122283</v>
      </c>
      <c r="O188" s="72" t="inlineStr">
        <is>
          <t>Video</t>
        </is>
      </c>
    </row>
    <row r="189" ht="13.5" customHeight="1" s="109">
      <c r="A189" s="35" t="inlineStr">
        <is>
          <t>https://www.instagram.com/p/DVtAIOnD8pf/</t>
        </is>
      </c>
      <c r="B189" s="35" t="inlineStr">
        <is>
          <t>Culture &amp; Loisirs</t>
        </is>
      </c>
      <c r="C189" s="35" t="inlineStr">
        <is>
          <t>Medias</t>
        </is>
      </c>
      <c r="D189" s="36" t="n">
        <v>50</v>
      </c>
      <c r="E189" s="36" t="inlineStr">
        <is>
          <t>N</t>
        </is>
      </c>
      <c r="F189" s="35" t="inlineStr">
        <is>
          <t>RTS et ATS sont des sources publiques neutres, rapportant des faits.</t>
        </is>
      </c>
      <c r="G189" s="36" t="inlineStr">
        <is>
          <t>Oui</t>
        </is>
      </c>
      <c r="H189" s="35" t="inlineStr">
        <is>
          <t>Le choix du sujet est jugé trivial ou peu important face à d'autres nouvelles.</t>
        </is>
      </c>
      <c r="I189" s="36" t="n">
        <v>1</v>
      </c>
      <c r="J189" s="36" t="n">
        <v>5</v>
      </c>
      <c r="K189" s="74">
        <f>IFERROR(I189/J189,0)</f>
        <v/>
      </c>
      <c r="L189" s="36" t="n">
        <v>78</v>
      </c>
      <c r="M189" s="36" t="n">
        <v>6250</v>
      </c>
      <c r="N189" s="36" t="n">
        <v>0</v>
      </c>
      <c r="O189" s="35" t="inlineStr">
        <is>
          <t>Image_Carrousel</t>
        </is>
      </c>
    </row>
    <row r="190" ht="13.5" customHeight="1" s="109">
      <c r="A190" s="72" t="inlineStr">
        <is>
          <t>https://www.instagram.com/p/DVtwGrZCQ-1/</t>
        </is>
      </c>
      <c r="B190" s="72" t="inlineStr">
        <is>
          <t>Sante</t>
        </is>
      </c>
      <c r="C190" s="72" t="inlineStr">
        <is>
          <t>Sante publique</t>
        </is>
      </c>
      <c r="D190" s="73" t="n">
        <v>40</v>
      </c>
      <c r="E190" s="73" t="inlineStr">
        <is>
          <t>N</t>
        </is>
      </c>
      <c r="F190" s="72" t="inlineStr">
        <is>
          <t>RTSinfo, média public, souligne les impacts du climat sur la santé publique et la prévention.</t>
        </is>
      </c>
      <c r="G190" s="73" t="inlineStr">
        <is>
          <t>Non</t>
        </is>
      </c>
      <c r="H190" s="72" t="inlineStr">
        <is>
          <t>Aucune critique du média dans les commentaires.</t>
        </is>
      </c>
      <c r="I190" s="73" t="n">
        <v>0</v>
      </c>
      <c r="J190" s="73" t="n">
        <v>6</v>
      </c>
      <c r="K190" s="74">
        <f>IFERROR(I190/J190,0)</f>
        <v/>
      </c>
      <c r="L190" s="73" t="n">
        <v>31</v>
      </c>
      <c r="M190" s="73" t="n">
        <v>1815</v>
      </c>
      <c r="N190" s="73" t="n">
        <v>0</v>
      </c>
      <c r="O190" s="72" t="inlineStr">
        <is>
          <t>Image_Carrousel</t>
        </is>
      </c>
    </row>
    <row r="191" ht="13.5" customHeight="1" s="109">
      <c r="A191" s="35" t="inlineStr">
        <is>
          <t>https://www.instagram.com/p/DVsjLyFmDL7/</t>
        </is>
      </c>
      <c r="B191" s="35" t="inlineStr">
        <is>
          <t>Societe &amp; Droits</t>
        </is>
      </c>
      <c r="C191" s="35" t="inlineStr">
        <is>
          <t>Faits de societe</t>
        </is>
      </c>
      <c r="D191" s="36" t="n">
        <v>50</v>
      </c>
      <c r="E191" s="36" t="inlineStr">
        <is>
          <t>N</t>
        </is>
      </c>
      <c r="F191" s="35" t="inlineStr">
        <is>
          <t>Article factuel sur une perturbation d'infrastructure, sans opinion ni parti pris.</t>
        </is>
      </c>
      <c r="G191" s="36" t="inlineStr">
        <is>
          <t>Oui</t>
        </is>
      </c>
      <c r="H191" s="35" t="inlineStr">
        <is>
          <t>Manque de précision et de mise à jour des informations par le média.</t>
        </is>
      </c>
      <c r="I191" s="36" t="n">
        <v>3</v>
      </c>
      <c r="J191" s="36" t="n">
        <v>3</v>
      </c>
      <c r="K191" s="74">
        <f>IFERROR(I191/J191,0)</f>
        <v/>
      </c>
      <c r="L191" s="36" t="n">
        <v>3</v>
      </c>
      <c r="M191" s="36" t="n">
        <v>2474</v>
      </c>
      <c r="N191" s="36" t="n">
        <v>0</v>
      </c>
      <c r="O191" s="35" t="inlineStr">
        <is>
          <t>Image_Carrousel</t>
        </is>
      </c>
    </row>
    <row r="192" ht="13.5" customHeight="1" s="109">
      <c r="A192" s="72" t="inlineStr">
        <is>
          <t>https://www.instagram.com/p/DVsduN4CvdW/</t>
        </is>
      </c>
      <c r="B192" s="72" t="inlineStr">
        <is>
          <t>Sante</t>
        </is>
      </c>
      <c r="C192" s="72" t="inlineStr">
        <is>
          <t>Sante publique</t>
        </is>
      </c>
      <c r="D192" s="73" t="n">
        <v>45</v>
      </c>
      <c r="E192" s="73" t="inlineStr">
        <is>
          <t>N</t>
        </is>
      </c>
      <c r="F192" s="72" t="inlineStr">
        <is>
          <t>RTS, média public, informe sur les risques alimentaires et promeut la santé publique.</t>
        </is>
      </c>
      <c r="G192" s="73" t="inlineStr">
        <is>
          <t>Non</t>
        </is>
      </c>
      <c r="H192" s="72" t="n"/>
      <c r="I192" s="73" t="n">
        <v>0</v>
      </c>
      <c r="J192" s="73" t="n">
        <v>4</v>
      </c>
      <c r="K192" s="74">
        <f>IFERROR(I192/J192,0)</f>
        <v/>
      </c>
      <c r="L192" s="73" t="n">
        <v>57</v>
      </c>
      <c r="M192" s="73" t="n">
        <v>1968</v>
      </c>
      <c r="N192" s="73" t="n">
        <v>0</v>
      </c>
      <c r="O192" s="72" t="inlineStr">
        <is>
          <t>Image_Carrousel</t>
        </is>
      </c>
    </row>
    <row r="193" ht="13.5" customHeight="1" s="109">
      <c r="A193" s="35" t="inlineStr">
        <is>
          <t>https://www.instagram.com/p/DVtbg3aDnC_/</t>
        </is>
      </c>
      <c r="B193" s="35" t="inlineStr">
        <is>
          <t>Sante</t>
        </is>
      </c>
      <c r="C193" s="35" t="inlineStr">
        <is>
          <t>Sante publique</t>
        </is>
      </c>
      <c r="D193" s="36" t="n">
        <v>35</v>
      </c>
      <c r="E193" s="36" t="inlineStr">
        <is>
          <t>N</t>
        </is>
      </c>
      <c r="F193" s="35" t="inlineStr">
        <is>
          <t>RTS, média public, rapporte étude sur risques chimiques pour bébés, aligné protection consommateur.</t>
        </is>
      </c>
      <c r="G193" s="36" t="inlineStr">
        <is>
          <t>Non</t>
        </is>
      </c>
      <c r="H193" s="35" t="n"/>
      <c r="I193" s="36" t="n">
        <v>0</v>
      </c>
      <c r="J193" s="36" t="n">
        <v>6</v>
      </c>
      <c r="K193" s="74">
        <f>IFERROR(I193/J193,0)</f>
        <v/>
      </c>
      <c r="L193" s="36" t="n">
        <v>26</v>
      </c>
      <c r="M193" s="36" t="n">
        <v>1885</v>
      </c>
      <c r="N193" s="36" t="n">
        <v>0</v>
      </c>
      <c r="O193" s="35" t="inlineStr">
        <is>
          <t>Image_Carrousel</t>
        </is>
      </c>
    </row>
    <row r="194" ht="13.5" customHeight="1" s="109">
      <c r="A194" s="72" t="inlineStr">
        <is>
          <t>https://www.instagram.com/p/DVsW-hrD1LB/</t>
        </is>
      </c>
      <c r="B194" s="72" t="inlineStr">
        <is>
          <t>Societe &amp; Droits</t>
        </is>
      </c>
      <c r="C194" s="72" t="inlineStr">
        <is>
          <t>Faits de societe</t>
        </is>
      </c>
      <c r="D194" s="73" t="n">
        <v>45</v>
      </c>
      <c r="E194" s="73" t="inlineStr">
        <is>
          <t>N</t>
        </is>
      </c>
      <c r="F194" s="72" t="inlineStr">
        <is>
          <t>RTS, média public, informe sur un service local sans angle politique marqué.</t>
        </is>
      </c>
      <c r="G194" s="73" t="inlineStr">
        <is>
          <t>Non</t>
        </is>
      </c>
      <c r="H194" s="72" t="n"/>
      <c r="I194" s="73" t="n">
        <v>0</v>
      </c>
      <c r="J194" s="73" t="n">
        <v>10</v>
      </c>
      <c r="K194" s="74">
        <f>IFERROR(I194/J194,0)</f>
        <v/>
      </c>
      <c r="L194" s="73" t="n">
        <v>67</v>
      </c>
      <c r="M194" s="73" t="n">
        <v>6283</v>
      </c>
      <c r="N194" s="73" t="n">
        <v>62368</v>
      </c>
      <c r="O194" s="72" t="inlineStr">
        <is>
          <t>Video</t>
        </is>
      </c>
    </row>
    <row r="195" ht="13.5" customHeight="1" s="109">
      <c r="A195" s="35" t="inlineStr">
        <is>
          <t>https://www.instagram.com/p/DVvCjKTiLHS/</t>
        </is>
      </c>
      <c r="B195" s="35" t="inlineStr">
        <is>
          <t>Culture &amp; Loisirs</t>
        </is>
      </c>
      <c r="C195" s="35" t="inlineStr">
        <is>
          <t>Sport</t>
        </is>
      </c>
      <c r="D195" s="36" t="n">
        <v>50</v>
      </c>
      <c r="E195" s="36" t="inlineStr">
        <is>
          <t>N</t>
        </is>
      </c>
      <c r="F195" s="35" t="inlineStr">
        <is>
          <t>RTS est un média de service public, généralement neutre et factuel.</t>
        </is>
      </c>
      <c r="G195" s="36" t="inlineStr">
        <is>
          <t>Non</t>
        </is>
      </c>
      <c r="H195" s="35" t="inlineStr">
        <is>
          <t>Aucune critique envers le média lui-même ou sa couverture.</t>
        </is>
      </c>
      <c r="I195" s="36" t="n">
        <v>0</v>
      </c>
      <c r="J195" s="36" t="n">
        <v>7</v>
      </c>
      <c r="K195" s="74">
        <f>IFERROR(I195/J195,0)</f>
        <v/>
      </c>
      <c r="L195" s="36" t="n">
        <v>11</v>
      </c>
      <c r="M195" s="36" t="n">
        <v>3640</v>
      </c>
      <c r="N195" s="36" t="n">
        <v>0</v>
      </c>
      <c r="O195" s="35" t="inlineStr">
        <is>
          <t>Image_Carrousel</t>
        </is>
      </c>
    </row>
    <row r="196" ht="13.5" customHeight="1" s="109">
      <c r="A196" s="72" t="inlineStr">
        <is>
          <t>https://www.instagram.com/p/DVuFw9liNp_/</t>
        </is>
      </c>
      <c r="B196" s="72" t="inlineStr">
        <is>
          <t>Securite &amp; Justice</t>
        </is>
      </c>
      <c r="C196" s="72" t="inlineStr">
        <is>
          <t>Ordre public</t>
        </is>
      </c>
      <c r="D196" s="73" t="n">
        <v>45</v>
      </c>
      <c r="E196" s="73" t="inlineStr">
        <is>
          <t>N</t>
        </is>
      </c>
      <c r="F196" s="72" t="inlineStr">
        <is>
          <t>RTS est un média de service public, factuel sur un événement tragique.</t>
        </is>
      </c>
      <c r="G196" s="73" t="inlineStr">
        <is>
          <t>Non</t>
        </is>
      </c>
      <c r="H196" s="72" t="n"/>
      <c r="I196" s="73" t="n">
        <v>0</v>
      </c>
      <c r="J196" s="73" t="n">
        <v>8</v>
      </c>
      <c r="K196" s="74">
        <f>IFERROR(I196/J196,0)</f>
        <v/>
      </c>
      <c r="L196" s="73" t="n">
        <v>181</v>
      </c>
      <c r="M196" s="73" t="n">
        <v>11429</v>
      </c>
      <c r="N196" s="73" t="n">
        <v>180301</v>
      </c>
      <c r="O196" s="72" t="inlineStr">
        <is>
          <t>Video</t>
        </is>
      </c>
    </row>
    <row r="197" ht="13.5" customHeight="1" s="109">
      <c r="A197" s="35" t="inlineStr">
        <is>
          <t>https://www.instagram.com/p/DVsu3ZODqqG/</t>
        </is>
      </c>
      <c r="B197" s="35" t="inlineStr">
        <is>
          <t>Societe &amp; Droits</t>
        </is>
      </c>
      <c r="C197" s="35" t="inlineStr">
        <is>
          <t>Faits de societe</t>
        </is>
      </c>
      <c r="D197" s="36" t="n">
        <v>45</v>
      </c>
      <c r="E197" s="36" t="inlineStr">
        <is>
          <t>N</t>
        </is>
      </c>
      <c r="F197" s="35" t="inlineStr">
        <is>
          <t>RTS public, contenu scientifique factuel, ton neutre et informatif.</t>
        </is>
      </c>
      <c r="G197" s="36" t="inlineStr">
        <is>
          <t>Non</t>
        </is>
      </c>
      <c r="H197" s="35" t="n"/>
      <c r="I197" s="36" t="n">
        <v>0</v>
      </c>
      <c r="J197" s="36" t="n">
        <v>7</v>
      </c>
      <c r="K197" s="74">
        <f>IFERROR(I197/J197,0)</f>
        <v/>
      </c>
      <c r="L197" s="36" t="n">
        <v>11</v>
      </c>
      <c r="M197" s="36" t="n">
        <v>2595</v>
      </c>
      <c r="N197" s="36" t="n">
        <v>0</v>
      </c>
      <c r="O197" s="35" t="inlineStr">
        <is>
          <t>Image_Carrousel</t>
        </is>
      </c>
    </row>
    <row r="198" ht="13.5" customHeight="1" s="109">
      <c r="A198" s="72" t="inlineStr">
        <is>
          <t>https://www.instagram.com/p/DVoOjjGjX2F/</t>
        </is>
      </c>
      <c r="B198" s="72" t="inlineStr">
        <is>
          <t>Politique &amp; Institutions</t>
        </is>
      </c>
      <c r="C198" s="72" t="inlineStr">
        <is>
          <t>Votations</t>
        </is>
      </c>
      <c r="D198" s="73" t="n">
        <v>45</v>
      </c>
      <c r="E198" s="73" t="inlineStr">
        <is>
          <t>N</t>
        </is>
      </c>
      <c r="F198" s="72" t="inlineStr">
        <is>
          <t>RTS, service public, rapporte les résultats du vote de manière factuelle et neutre.</t>
        </is>
      </c>
      <c r="G198" s="73" t="inlineStr">
        <is>
          <t>Non</t>
        </is>
      </c>
      <c r="H198" s="72" t="inlineStr">
        <is>
          <t>Aucune critique directe ou indirecte du média dans les commentaires. Factualité.</t>
        </is>
      </c>
      <c r="I198" s="73" t="n">
        <v>0</v>
      </c>
      <c r="J198" s="73" t="n">
        <v>7</v>
      </c>
      <c r="K198" s="74">
        <f>IFERROR(I198/J198,0)</f>
        <v/>
      </c>
      <c r="L198" s="73" t="n">
        <v>197</v>
      </c>
      <c r="M198" s="73" t="n">
        <v>9096</v>
      </c>
      <c r="N198" s="73" t="n">
        <v>0</v>
      </c>
      <c r="O198" s="72" t="inlineStr">
        <is>
          <t>Image_Carrousel</t>
        </is>
      </c>
    </row>
    <row r="199" ht="13.5" customHeight="1" s="109">
      <c r="A199" s="35" t="inlineStr">
        <is>
          <t>https://www.instagram.com/p/DVp4M2ZDabY/</t>
        </is>
      </c>
      <c r="B199" s="35" t="inlineStr">
        <is>
          <t>Securite &amp; Justice</t>
        </is>
      </c>
      <c r="C199" s="35" t="inlineStr">
        <is>
          <t>Justice</t>
        </is>
      </c>
      <c r="D199" s="36" t="n">
        <v>45</v>
      </c>
      <c r="E199" s="36" t="inlineStr">
        <is>
          <t>N</t>
        </is>
      </c>
      <c r="F199" s="35" t="inlineStr">
        <is>
          <t>RTS, média public suisse, rapporte factuellement une affaire judiciaire.</t>
        </is>
      </c>
      <c r="G199" s="36" t="inlineStr">
        <is>
          <t>Oui</t>
        </is>
      </c>
      <c r="H199" s="35" t="inlineStr">
        <is>
          <t>Un commentaire critique la qualité générale des informations 'sur les réseaux'.</t>
        </is>
      </c>
      <c r="I199" s="36" t="n">
        <v>1</v>
      </c>
      <c r="J199" s="36" t="n">
        <v>6</v>
      </c>
      <c r="K199" s="74">
        <f>IFERROR(I199/J199,0)</f>
        <v/>
      </c>
      <c r="L199" s="36" t="n">
        <v>199</v>
      </c>
      <c r="M199" s="36" t="n">
        <v>7752</v>
      </c>
      <c r="N199" s="36" t="n">
        <v>0</v>
      </c>
      <c r="O199" s="35" t="inlineStr">
        <is>
          <t>Image_Carrousel</t>
        </is>
      </c>
    </row>
    <row r="200" ht="13.5" customHeight="1" s="109">
      <c r="A200" s="72" t="inlineStr">
        <is>
          <t>https://www.instagram.com/p/DVq2vLYkfpW/</t>
        </is>
      </c>
      <c r="B200" s="72" t="inlineStr">
        <is>
          <t>International</t>
        </is>
      </c>
      <c r="C200" s="72" t="inlineStr">
        <is>
          <t>Geopolitique</t>
        </is>
      </c>
      <c r="D200" s="73" t="n">
        <v>55</v>
      </c>
      <c r="E200" s="73" t="inlineStr">
        <is>
          <t>N</t>
        </is>
      </c>
      <c r="F200" s="72" t="inlineStr">
        <is>
          <t>RTS présente une analyse équilibrée des faits et des avis d'experts, avec une neutralité de ton.</t>
        </is>
      </c>
      <c r="G200" s="73" t="inlineStr">
        <is>
          <t>Oui</t>
        </is>
      </c>
      <c r="H200" s="72" t="inlineStr">
        <is>
          <t>Accusé de complaisance sur les risques inflationnistes pour l'investisseur individuel.</t>
        </is>
      </c>
      <c r="I200" s="73" t="n">
        <v>1</v>
      </c>
      <c r="J200" s="73" t="n">
        <v>9</v>
      </c>
      <c r="K200" s="74">
        <f>IFERROR(I200/J200,0)</f>
        <v/>
      </c>
      <c r="L200" s="73" t="n">
        <v>35</v>
      </c>
      <c r="M200" s="73" t="n">
        <v>1924</v>
      </c>
      <c r="N200" s="73" t="n">
        <v>0</v>
      </c>
      <c r="O200" s="72" t="inlineStr">
        <is>
          <t>Image_Carrousel</t>
        </is>
      </c>
    </row>
    <row r="201" ht="13.5" customHeight="1" s="109">
      <c r="A201" s="35" t="inlineStr">
        <is>
          <t>https://www.instagram.com/p/DVqbX2QiPwh/</t>
        </is>
      </c>
      <c r="B201" s="35" t="inlineStr">
        <is>
          <t>International</t>
        </is>
      </c>
      <c r="C201" s="35" t="inlineStr">
        <is>
          <t>Geopolitique</t>
        </is>
      </c>
      <c r="D201" s="36" t="n">
        <v>45</v>
      </c>
      <c r="E201" s="36" t="inlineStr">
        <is>
          <t>N</t>
        </is>
      </c>
      <c r="F201" s="35" t="inlineStr">
        <is>
          <t>RTS, média public suisse, est généralement perçu comme centriste.</t>
        </is>
      </c>
      <c r="G201" s="36" t="inlineStr">
        <is>
          <t>Oui</t>
        </is>
      </c>
      <c r="H201" s="35" t="inlineStr">
        <is>
          <t>Le média est accusé de biais 'bobo' (gauche) et d'un manque de jugement.</t>
        </is>
      </c>
      <c r="I201" s="36" t="n">
        <v>1</v>
      </c>
      <c r="J201" s="36" t="n">
        <v>6</v>
      </c>
      <c r="K201" s="74">
        <f>IFERROR(I201/J201,0)</f>
        <v/>
      </c>
      <c r="L201" s="36" t="n">
        <v>65</v>
      </c>
      <c r="M201" s="36" t="n">
        <v>3485</v>
      </c>
      <c r="N201" s="36" t="n">
        <v>0</v>
      </c>
      <c r="O201" s="35" t="inlineStr">
        <is>
          <t>Image_Carrousel</t>
        </is>
      </c>
    </row>
    <row r="202" ht="13.5" customHeight="1" s="109">
      <c r="A202" s="72" t="inlineStr">
        <is>
          <t>https://www.instagram.com/p/DVmMVi6gi5a/</t>
        </is>
      </c>
      <c r="B202" s="72" t="inlineStr">
        <is>
          <t>Culture &amp; Loisirs</t>
        </is>
      </c>
      <c r="C202" s="72" t="inlineStr">
        <is>
          <t>Sport</t>
        </is>
      </c>
      <c r="D202" s="73" t="n">
        <v>50</v>
      </c>
      <c r="E202" s="73" t="inlineStr">
        <is>
          <t>N</t>
        </is>
      </c>
      <c r="F202" s="72" t="inlineStr">
        <is>
          <t>Reportage sportif standard, impartial et factuel, sans biais politique ou social notable.</t>
        </is>
      </c>
      <c r="G202" s="73" t="inlineStr">
        <is>
          <t>Non</t>
        </is>
      </c>
      <c r="H202" s="72" t="inlineStr">
        <is>
          <t>Aucune critique directe du média n'est formulée dans les commentaires.</t>
        </is>
      </c>
      <c r="I202" s="73" t="n">
        <v>0</v>
      </c>
      <c r="J202" s="73" t="n">
        <v>3</v>
      </c>
      <c r="K202" s="74">
        <f>IFERROR(I202/J202,0)</f>
        <v/>
      </c>
      <c r="L202" s="73" t="n">
        <v>55</v>
      </c>
      <c r="M202" s="73" t="n">
        <v>7707</v>
      </c>
      <c r="N202" s="73" t="n">
        <v>0</v>
      </c>
      <c r="O202" s="72" t="inlineStr">
        <is>
          <t>Image_Carrousel</t>
        </is>
      </c>
    </row>
    <row r="203" ht="13.5" customHeight="1" s="109">
      <c r="A203" s="35" t="inlineStr">
        <is>
          <t>https://www.instagram.com/p/DVqiLM_FQkS/</t>
        </is>
      </c>
      <c r="B203" s="35" t="inlineStr">
        <is>
          <t>Economie &amp; Travail</t>
        </is>
      </c>
      <c r="C203" s="35" t="inlineStr">
        <is>
          <t>Consommation</t>
        </is>
      </c>
      <c r="D203" s="36" t="n">
        <v>45</v>
      </c>
      <c r="E203" s="36" t="inlineStr">
        <is>
          <t>N</t>
        </is>
      </c>
      <c r="F203" s="35" t="inlineStr">
        <is>
          <t>Média public suisse, propose un traitement neutre et factuel du sujet.</t>
        </is>
      </c>
      <c r="G203" s="36" t="inlineStr">
        <is>
          <t>Non</t>
        </is>
      </c>
      <c r="H203" s="35" t="n"/>
      <c r="I203" s="36" t="n">
        <v>0</v>
      </c>
      <c r="J203" s="36" t="n">
        <v>7</v>
      </c>
      <c r="K203" s="74">
        <f>IFERROR(I203/J203,0)</f>
        <v/>
      </c>
      <c r="L203" s="36" t="n">
        <v>209</v>
      </c>
      <c r="M203" s="36" t="n">
        <v>46207</v>
      </c>
      <c r="N203" s="36" t="n">
        <v>0</v>
      </c>
      <c r="O203" s="35" t="inlineStr">
        <is>
          <t>Image_Carrousel</t>
        </is>
      </c>
    </row>
    <row r="204" ht="13.5" customHeight="1" s="109">
      <c r="A204" s="72" t="inlineStr">
        <is>
          <t>https://www.instagram.com/p/DVu7vDgDW1E/</t>
        </is>
      </c>
      <c r="B204" s="72" t="inlineStr">
        <is>
          <t>Societe &amp; Droits</t>
        </is>
      </c>
      <c r="C204" s="72" t="inlineStr">
        <is>
          <t>Questions de Genre</t>
        </is>
      </c>
      <c r="D204" s="73" t="n">
        <v>15</v>
      </c>
      <c r="E204" s="73" t="inlineStr">
        <is>
          <t>G</t>
        </is>
      </c>
      <c r="F204" s="72" t="inlineStr">
        <is>
          <t>Met en lumière un biais systémique de genre en santé et propose solution.</t>
        </is>
      </c>
      <c r="G204" s="73" t="inlineStr">
        <is>
          <t>Non</t>
        </is>
      </c>
      <c r="H204" s="72" t="n"/>
      <c r="I204" s="73" t="n">
        <v>0</v>
      </c>
      <c r="J204" s="73" t="n">
        <v>4</v>
      </c>
      <c r="K204" s="74">
        <f>IFERROR(I204/J204,0)</f>
        <v/>
      </c>
      <c r="L204" s="73" t="n">
        <v>34</v>
      </c>
      <c r="M204" s="73" t="n">
        <v>3195</v>
      </c>
      <c r="N204" s="73" t="n">
        <v>50775</v>
      </c>
      <c r="O204" s="72" t="inlineStr">
        <is>
          <t>Video</t>
        </is>
      </c>
    </row>
    <row r="205" ht="13.5" customHeight="1" s="109">
      <c r="A205" s="35" t="inlineStr">
        <is>
          <t>https://www.instagram.com/p/DVoYzFllQH-/</t>
        </is>
      </c>
      <c r="B205" s="35" t="inlineStr">
        <is>
          <t>Societe &amp; Droits</t>
        </is>
      </c>
      <c r="C205" s="35" t="inlineStr">
        <is>
          <t>Questions de Genre</t>
        </is>
      </c>
      <c r="D205" s="36" t="n">
        <v>45</v>
      </c>
      <c r="E205" s="36" t="inlineStr">
        <is>
          <t>G</t>
        </is>
      </c>
      <c r="F205" s="35" t="inlineStr">
        <is>
          <t>Service public couvre manifestation féministe, rapporte revendications et contexte historique.</t>
        </is>
      </c>
      <c r="G205" s="36" t="inlineStr">
        <is>
          <t>Oui</t>
        </is>
      </c>
      <c r="H205" s="35" t="inlineStr">
        <is>
          <t>Le média omettrait de mentionner clairement l'origine 'communiste' de la journée.</t>
        </is>
      </c>
      <c r="I205" s="36" t="n">
        <v>1</v>
      </c>
      <c r="J205" s="36" t="n">
        <v>4</v>
      </c>
      <c r="K205" s="74">
        <f>IFERROR(I205/J205,0)</f>
        <v/>
      </c>
      <c r="L205" s="36" t="n">
        <v>47</v>
      </c>
      <c r="M205" s="36" t="n">
        <v>2583</v>
      </c>
      <c r="N205" s="36" t="n">
        <v>0</v>
      </c>
      <c r="O205" s="35" t="inlineStr">
        <is>
          <t>Image_Carrousel</t>
        </is>
      </c>
    </row>
    <row r="206" ht="13.5" customHeight="1" s="109">
      <c r="A206" s="72" t="inlineStr">
        <is>
          <t>https://www.instagram.com/p/DVoSGePjZa0/</t>
        </is>
      </c>
      <c r="B206" s="72" t="inlineStr">
        <is>
          <t>Politique &amp; Institutions</t>
        </is>
      </c>
      <c r="C206" s="72" t="inlineStr">
        <is>
          <t>Votations</t>
        </is>
      </c>
      <c r="D206" s="73" t="n">
        <v>50</v>
      </c>
      <c r="E206" s="73" t="inlineStr">
        <is>
          <t>N</t>
        </is>
      </c>
      <c r="F206" s="72" t="inlineStr">
        <is>
          <t>RTS est un média public, rapportant un fait sans biais apparent.</t>
        </is>
      </c>
      <c r="G206" s="73" t="inlineStr">
        <is>
          <t>Non</t>
        </is>
      </c>
      <c r="H206" s="72" t="n"/>
      <c r="I206" s="73" t="n">
        <v>0</v>
      </c>
      <c r="J206" s="73" t="n">
        <v>5</v>
      </c>
      <c r="K206" s="74">
        <f>IFERROR(I206/J206,0)</f>
        <v/>
      </c>
      <c r="L206" s="73" t="n">
        <v>137</v>
      </c>
      <c r="M206" s="73" t="n">
        <v>2257</v>
      </c>
      <c r="N206" s="73" t="n">
        <v>0</v>
      </c>
      <c r="O206" s="72" t="inlineStr">
        <is>
          <t>Image_Carrousel</t>
        </is>
      </c>
    </row>
    <row r="207" ht="13.5" customHeight="1" s="109">
      <c r="A207" s="35" t="inlineStr">
        <is>
          <t>https://www.instagram.com/p/DVofRy0jdJe/</t>
        </is>
      </c>
      <c r="B207" s="35" t="inlineStr">
        <is>
          <t>Politique &amp; Institutions</t>
        </is>
      </c>
      <c r="C207" s="35" t="inlineStr">
        <is>
          <t>Votations</t>
        </is>
      </c>
      <c r="D207" s="36" t="n">
        <v>40</v>
      </c>
      <c r="E207" s="36" t="inlineStr">
        <is>
          <t>N</t>
        </is>
      </c>
      <c r="F207" s="35" t="inlineStr">
        <is>
          <t>Service public, ton informatif, usage langage inclusif et analyse des enjeux pour la gauche.</t>
        </is>
      </c>
      <c r="G207" s="36" t="inlineStr">
        <is>
          <t>Non</t>
        </is>
      </c>
      <c r="H207" s="35" t="n"/>
      <c r="I207" s="36" t="n">
        <v>0</v>
      </c>
      <c r="J207" s="36" t="n">
        <v>4</v>
      </c>
      <c r="K207" s="74">
        <f>IFERROR(I207/J207,0)</f>
        <v/>
      </c>
      <c r="L207" s="36" t="n">
        <v>37</v>
      </c>
      <c r="M207" s="36" t="n">
        <v>1886</v>
      </c>
      <c r="N207" s="36" t="n">
        <v>0</v>
      </c>
      <c r="O207" s="35" t="inlineStr">
        <is>
          <t>Image_Carrousel</t>
        </is>
      </c>
    </row>
    <row r="208" ht="13.5" customHeight="1" s="109">
      <c r="A208" s="72" t="inlineStr">
        <is>
          <t>https://www.instagram.com/p/DVprWAoDrcO/</t>
        </is>
      </c>
      <c r="B208" s="72" t="inlineStr">
        <is>
          <t>Politique &amp; Institutions</t>
        </is>
      </c>
      <c r="C208" s="72" t="inlineStr">
        <is>
          <t>Autorites</t>
        </is>
      </c>
      <c r="D208" s="73" t="n">
        <v>45</v>
      </c>
      <c r="E208" s="73" t="inlineStr">
        <is>
          <t>N</t>
        </is>
      </c>
      <c r="F208" s="72" t="inlineStr">
        <is>
          <t>RTS, service public, critique l'autonomie des CFF/immobilier sans aval. Approche investigative.</t>
        </is>
      </c>
      <c r="G208" s="73" t="inlineStr">
        <is>
          <t>Non</t>
        </is>
      </c>
      <c r="H208" s="72" t="n"/>
      <c r="I208" s="73" t="n">
        <v>0</v>
      </c>
      <c r="J208" s="73" t="n">
        <v>3</v>
      </c>
      <c r="K208" s="74">
        <f>IFERROR(I208/J208,0)</f>
        <v/>
      </c>
      <c r="L208" s="73" t="n">
        <v>49</v>
      </c>
      <c r="M208" s="73" t="n">
        <v>3729</v>
      </c>
      <c r="N208" s="73" t="n">
        <v>69776</v>
      </c>
      <c r="O208" s="72" t="inlineStr">
        <is>
          <t>Video</t>
        </is>
      </c>
    </row>
    <row r="209" ht="13.5" customHeight="1" s="109">
      <c r="A209" s="35" t="inlineStr">
        <is>
          <t>https://www.instagram.com/p/DVs5Kdujh9w/</t>
        </is>
      </c>
      <c r="B209" s="35" t="inlineStr">
        <is>
          <t>Sante</t>
        </is>
      </c>
      <c r="C209" s="35" t="inlineStr">
        <is>
          <t>Sante publique</t>
        </is>
      </c>
      <c r="D209" s="36" t="n">
        <v>45</v>
      </c>
      <c r="E209" s="36" t="inlineStr">
        <is>
          <t>N</t>
        </is>
      </c>
      <c r="F209" s="35" t="inlineStr">
        <is>
          <t>RTS est un média public, ton informatif et neutre, sujet positif et apolitique.</t>
        </is>
      </c>
      <c r="G209" s="36" t="inlineStr">
        <is>
          <t>Non</t>
        </is>
      </c>
      <c r="H209" s="35" t="inlineStr">
        <is>
          <t>Aucune critique du média.</t>
        </is>
      </c>
      <c r="I209" s="36" t="n">
        <v>0</v>
      </c>
      <c r="J209" s="36" t="n">
        <v>8</v>
      </c>
      <c r="K209" s="74">
        <f>IFERROR(I209/J209,0)</f>
        <v/>
      </c>
      <c r="L209" s="36" t="n">
        <v>55</v>
      </c>
      <c r="M209" s="36" t="n">
        <v>12901</v>
      </c>
      <c r="N209" s="36" t="n">
        <v>0</v>
      </c>
      <c r="O209" s="35" t="inlineStr">
        <is>
          <t>Image_Carrousel</t>
        </is>
      </c>
    </row>
    <row r="210" ht="13.5" customHeight="1" s="109">
      <c r="A210" s="72" t="inlineStr">
        <is>
          <t>https://www.instagram.com/p/DVoLBWckmjV/</t>
        </is>
      </c>
      <c r="B210" s="72" t="inlineStr">
        <is>
          <t>Politique &amp; Institutions</t>
        </is>
      </c>
      <c r="C210" s="72" t="inlineStr">
        <is>
          <t>Votations</t>
        </is>
      </c>
      <c r="D210" s="73" t="n">
        <v>50</v>
      </c>
      <c r="E210" s="73" t="inlineStr">
        <is>
          <t>N</t>
        </is>
      </c>
      <c r="F210" s="72" t="inlineStr">
        <is>
          <t>RTS est un média de service public, rapportant un résultat de votation fédéral de manière neutre.</t>
        </is>
      </c>
      <c r="G210" s="73" t="inlineStr">
        <is>
          <t>Oui</t>
        </is>
      </c>
      <c r="H210" s="72" t="inlineStr">
        <is>
          <t>Un commentaire remet en question la véracité des résultats rapportés par le média.</t>
        </is>
      </c>
      <c r="I210" s="73" t="n">
        <v>1</v>
      </c>
      <c r="J210" s="73" t="n">
        <v>5</v>
      </c>
      <c r="K210" s="74">
        <f>IFERROR(I210/J210,0)</f>
        <v/>
      </c>
      <c r="L210" s="73" t="n">
        <v>381</v>
      </c>
      <c r="M210" s="73" t="n">
        <v>11367</v>
      </c>
      <c r="N210" s="73" t="n">
        <v>0</v>
      </c>
      <c r="O210" s="72" t="inlineStr">
        <is>
          <t>Image_Carrousel</t>
        </is>
      </c>
    </row>
    <row r="211" ht="13.5" customHeight="1" s="109">
      <c r="A211" s="35" t="inlineStr">
        <is>
          <t>https://www.instagram.com/p/DVoVfG7iOgm/</t>
        </is>
      </c>
      <c r="B211" s="35" t="inlineStr">
        <is>
          <t>Politique &amp; Institutions</t>
        </is>
      </c>
      <c r="C211" s="35" t="inlineStr">
        <is>
          <t>Votations</t>
        </is>
      </c>
      <c r="D211" s="36" t="n">
        <v>50</v>
      </c>
      <c r="E211" s="36" t="inlineStr">
        <is>
          <t>N</t>
        </is>
      </c>
      <c r="F211" s="35" t="inlineStr">
        <is>
          <t>RTS et ATS, médias publics et agence de presse suisse, sont généralement neutres.</t>
        </is>
      </c>
      <c r="G211" s="36" t="inlineStr">
        <is>
          <t>Non</t>
        </is>
      </c>
      <c r="H211" s="35" t="n"/>
      <c r="I211" s="36" t="n">
        <v>0</v>
      </c>
      <c r="J211" s="36" t="n">
        <v>10</v>
      </c>
      <c r="K211" s="74">
        <f>IFERROR(I211/J211,0)</f>
        <v/>
      </c>
      <c r="L211" s="36" t="n">
        <v>26</v>
      </c>
      <c r="M211" s="36" t="n">
        <v>3253</v>
      </c>
      <c r="N211" s="36" t="n">
        <v>0</v>
      </c>
      <c r="O211" s="35" t="inlineStr">
        <is>
          <t>Image_Carrousel</t>
        </is>
      </c>
    </row>
    <row r="212" ht="13.5" customHeight="1" s="109">
      <c r="A212" s="72" t="inlineStr">
        <is>
          <t>https://www.instagram.com/p/DVn4KWAAdZi/</t>
        </is>
      </c>
      <c r="B212" s="72" t="inlineStr">
        <is>
          <t>Politique &amp; Institutions</t>
        </is>
      </c>
      <c r="C212" s="72" t="inlineStr">
        <is>
          <t>Votations</t>
        </is>
      </c>
      <c r="D212" s="73" t="n">
        <v>50</v>
      </c>
      <c r="E212" s="73" t="inlineStr">
        <is>
          <t>N</t>
        </is>
      </c>
      <c r="F212" s="72" t="inlineStr">
        <is>
          <t>Rapport factuel et équilibré des résultats du vote et des arguments des parties.</t>
        </is>
      </c>
      <c r="G212" s="73" t="inlineStr">
        <is>
          <t>Non</t>
        </is>
      </c>
      <c r="H212" s="72" t="n"/>
      <c r="I212" s="73" t="n">
        <v>0</v>
      </c>
      <c r="J212" s="73" t="n">
        <v>4</v>
      </c>
      <c r="K212" s="74">
        <f>IFERROR(I212/J212,0)</f>
        <v/>
      </c>
      <c r="L212" s="73" t="n">
        <v>233</v>
      </c>
      <c r="M212" s="73" t="n">
        <v>5896</v>
      </c>
      <c r="N212" s="73" t="n">
        <v>0</v>
      </c>
      <c r="O212" s="72" t="inlineStr">
        <is>
          <t>Image_Carrousel</t>
        </is>
      </c>
    </row>
    <row r="213" ht="13.5" customHeight="1" s="109">
      <c r="A213" s="35" t="inlineStr">
        <is>
          <t>https://www.instagram.com/p/DVtG6BmGO2A/</t>
        </is>
      </c>
      <c r="B213" s="35" t="inlineStr">
        <is>
          <t>Sante</t>
        </is>
      </c>
      <c r="C213" s="35" t="inlineStr">
        <is>
          <t>Sante publique</t>
        </is>
      </c>
      <c r="D213" s="36" t="n">
        <v>40</v>
      </c>
      <c r="E213" s="36" t="inlineStr">
        <is>
          <t>N</t>
        </is>
      </c>
      <c r="F213" s="35" t="inlineStr">
        <is>
          <t>Rapport factuel sur une initiative de santé publique, axé sur la réduction des risques.</t>
        </is>
      </c>
      <c r="G213" s="36" t="inlineStr">
        <is>
          <t>Non</t>
        </is>
      </c>
      <c r="H213" s="35" t="n"/>
      <c r="I213" s="36" t="n">
        <v>0</v>
      </c>
      <c r="J213" s="36" t="n">
        <v>6</v>
      </c>
      <c r="K213" s="74">
        <f>IFERROR(I213/J213,0)</f>
        <v/>
      </c>
      <c r="L213" s="36" t="n">
        <v>124</v>
      </c>
      <c r="M213" s="36" t="n">
        <v>3923</v>
      </c>
      <c r="N213" s="36" t="n">
        <v>0</v>
      </c>
      <c r="O213" s="35" t="inlineStr">
        <is>
          <t>Image_Carrousel</t>
        </is>
      </c>
    </row>
    <row r="214" ht="13.5" customHeight="1" s="109">
      <c r="A214" s="72" t="inlineStr">
        <is>
          <t>https://www.instagram.com/p/DVpyEDBiWLa/</t>
        </is>
      </c>
      <c r="B214" s="72" t="inlineStr">
        <is>
          <t>Societe &amp; Droits</t>
        </is>
      </c>
      <c r="C214" s="72" t="inlineStr">
        <is>
          <t>Faits de societe</t>
        </is>
      </c>
      <c r="D214" s="73" t="n">
        <v>50</v>
      </c>
      <c r="E214" s="73" t="inlineStr">
        <is>
          <t>N</t>
        </is>
      </c>
      <c r="F214" s="72" t="inlineStr">
        <is>
          <t>RTS est un média public suisse, approche factuelle et informative sur ce sujet.</t>
        </is>
      </c>
      <c r="G214" s="73" t="inlineStr">
        <is>
          <t>Oui</t>
        </is>
      </c>
      <c r="H214" s="72" t="inlineStr">
        <is>
          <t>Un commentaire critique la pertinence ou le choix des sujets du média.</t>
        </is>
      </c>
      <c r="I214" s="73" t="n">
        <v>1</v>
      </c>
      <c r="J214" s="73" t="n">
        <v>5</v>
      </c>
      <c r="K214" s="74">
        <f>IFERROR(I214/J214,0)</f>
        <v/>
      </c>
      <c r="L214" s="73" t="n">
        <v>26</v>
      </c>
      <c r="M214" s="73" t="n">
        <v>3538</v>
      </c>
      <c r="N214" s="73" t="n">
        <v>0</v>
      </c>
      <c r="O214" s="72" t="inlineStr">
        <is>
          <t>Image_Carrousel</t>
        </is>
      </c>
    </row>
    <row r="215" ht="13.5" customHeight="1" s="109">
      <c r="A215" s="35" t="inlineStr">
        <is>
          <t>https://www.instagram.com/p/DVqVDdIDOQX/</t>
        </is>
      </c>
      <c r="B215" s="35" t="inlineStr">
        <is>
          <t>Sante</t>
        </is>
      </c>
      <c r="C215" s="35" t="inlineStr">
        <is>
          <t>Sante publique</t>
        </is>
      </c>
      <c r="D215" s="36" t="n">
        <v>50</v>
      </c>
      <c r="E215" s="36" t="inlineStr">
        <is>
          <t>N</t>
        </is>
      </c>
      <c r="F215" s="35" t="inlineStr">
        <is>
          <t>RTSinfo, média de service public, vise la neutralité et l'information factuelle.</t>
        </is>
      </c>
      <c r="G215" s="36" t="inlineStr">
        <is>
          <t>Non</t>
        </is>
      </c>
      <c r="H215" s="35" t="n"/>
      <c r="I215" s="36" t="n">
        <v>0</v>
      </c>
      <c r="J215" s="36" t="n">
        <v>9</v>
      </c>
      <c r="K215" s="74">
        <f>IFERROR(I215/J215,0)</f>
        <v/>
      </c>
      <c r="L215" s="36" t="n">
        <v>32</v>
      </c>
      <c r="M215" s="36" t="n">
        <v>5878</v>
      </c>
      <c r="N215" s="36" t="n">
        <v>0</v>
      </c>
      <c r="O215" s="35" t="inlineStr">
        <is>
          <t>Image_Carrousel</t>
        </is>
      </c>
    </row>
    <row r="216" ht="13.5" customHeight="1" s="109">
      <c r="A216" s="72" t="inlineStr">
        <is>
          <t>https://www.instagram.com/p/DVo81QICQhV/</t>
        </is>
      </c>
      <c r="B216" s="72" t="inlineStr">
        <is>
          <t>International</t>
        </is>
      </c>
      <c r="C216" s="72" t="inlineStr">
        <is>
          <t>Geopolitique</t>
        </is>
      </c>
      <c r="D216" s="73" t="n">
        <v>50</v>
      </c>
      <c r="E216" s="73" t="inlineStr">
        <is>
          <t>N</t>
        </is>
      </c>
      <c r="F216" s="72" t="inlineStr">
        <is>
          <t>RTS publie un article factuel sur la succession du Guide suprême iranien, sans prise de position.</t>
        </is>
      </c>
      <c r="G216" s="73" t="inlineStr">
        <is>
          <t>Non</t>
        </is>
      </c>
      <c r="H216" s="72" t="n"/>
      <c r="I216" s="73" t="n">
        <v>0</v>
      </c>
      <c r="J216" s="73" t="n">
        <v>9</v>
      </c>
      <c r="K216" s="74">
        <f>IFERROR(I216/J216,0)</f>
        <v/>
      </c>
      <c r="L216" s="73" t="n">
        <v>213</v>
      </c>
      <c r="M216" s="73" t="n">
        <v>2554</v>
      </c>
      <c r="N216" s="73" t="n">
        <v>0</v>
      </c>
      <c r="O216" s="72" t="inlineStr">
        <is>
          <t>Image_Carrousel</t>
        </is>
      </c>
    </row>
    <row r="217" ht="13.5" customHeight="1" s="109">
      <c r="A217" s="35" t="inlineStr">
        <is>
          <t>https://www.instagram.com/p/DVlYiF5ArRz/</t>
        </is>
      </c>
      <c r="B217" s="35" t="inlineStr">
        <is>
          <t>Environnement &amp; Nature</t>
        </is>
      </c>
      <c r="C217" s="35" t="inlineStr">
        <is>
          <t>Climat / Ecologie</t>
        </is>
      </c>
      <c r="D217" s="36" t="n">
        <v>35</v>
      </c>
      <c r="E217" s="36" t="inlineStr">
        <is>
          <t>G</t>
        </is>
      </c>
      <c r="F217" s="35" t="inlineStr">
        <is>
          <t>Média public, sensibilise à l'écologie et au gaspillage, promeut actions collectives.</t>
        </is>
      </c>
      <c r="G217" s="36" t="inlineStr">
        <is>
          <t>Non</t>
        </is>
      </c>
      <c r="H217" s="35" t="n"/>
      <c r="I217" s="36" t="n">
        <v>0</v>
      </c>
      <c r="J217" s="36" t="n">
        <v>7</v>
      </c>
      <c r="K217" s="74">
        <f>IFERROR(I217/J217,0)</f>
        <v/>
      </c>
      <c r="L217" s="36" t="n">
        <v>170</v>
      </c>
      <c r="M217" s="36" t="n">
        <v>1969</v>
      </c>
      <c r="N217" s="36" t="n">
        <v>0</v>
      </c>
      <c r="O217" s="35" t="inlineStr">
        <is>
          <t>Image_Carrousel</t>
        </is>
      </c>
    </row>
    <row r="218" ht="13.5" customHeight="1" s="109">
      <c r="A218" s="72" t="inlineStr">
        <is>
          <t>https://www.instagram.com/p/DVn0cyNjVKy/</t>
        </is>
      </c>
      <c r="B218" s="72" t="inlineStr">
        <is>
          <t>Politique &amp; Institutions</t>
        </is>
      </c>
      <c r="C218" s="72" t="inlineStr">
        <is>
          <t>Votations</t>
        </is>
      </c>
      <c r="D218" s="73" t="n">
        <v>50</v>
      </c>
      <c r="E218" s="73" t="inlineStr">
        <is>
          <t>N</t>
        </is>
      </c>
      <c r="F218" s="72" t="inlineStr">
        <is>
          <t>RTS, média de service public, rapporte des résultats de votations factuellement.</t>
        </is>
      </c>
      <c r="G218" s="73" t="inlineStr">
        <is>
          <t>Non</t>
        </is>
      </c>
      <c r="H218" s="72" t="n"/>
      <c r="I218" s="73" t="n">
        <v>0</v>
      </c>
      <c r="J218" s="73" t="n">
        <v>3</v>
      </c>
      <c r="K218" s="74">
        <f>IFERROR(I218/J218,0)</f>
        <v/>
      </c>
      <c r="L218" s="73" t="n">
        <v>356</v>
      </c>
      <c r="M218" s="73" t="n">
        <v>16460</v>
      </c>
      <c r="N218" s="73" t="n">
        <v>0</v>
      </c>
      <c r="O218" s="72" t="inlineStr">
        <is>
          <t>Image_Carrousel</t>
        </is>
      </c>
    </row>
    <row r="219" ht="13.5" customHeight="1" s="109">
      <c r="A219" s="35" t="inlineStr">
        <is>
          <t>https://www.instagram.com/p/DVlRycPDaSW/</t>
        </is>
      </c>
      <c r="B219" s="35" t="inlineStr">
        <is>
          <t>Societe &amp; Droits</t>
        </is>
      </c>
      <c r="C219" s="35" t="inlineStr">
        <is>
          <t>Faits de societe</t>
        </is>
      </c>
      <c r="D219" s="36" t="n">
        <v>40</v>
      </c>
      <c r="E219" s="36" t="inlineStr">
        <is>
          <t>N</t>
        </is>
      </c>
      <c r="F219" s="35" t="inlineStr">
        <is>
          <t>Analyse éthique des usages IA et positionnement critique des acteurs.</t>
        </is>
      </c>
      <c r="G219" s="36" t="inlineStr">
        <is>
          <t>Non</t>
        </is>
      </c>
      <c r="H219" s="35" t="n"/>
      <c r="I219" s="36" t="n">
        <v>0</v>
      </c>
      <c r="J219" s="36" t="n">
        <v>2</v>
      </c>
      <c r="K219" s="74">
        <f>IFERROR(I219/J219,0)</f>
        <v/>
      </c>
      <c r="L219" s="36" t="n">
        <v>103</v>
      </c>
      <c r="M219" s="36" t="n">
        <v>5627</v>
      </c>
      <c r="N219" s="36" t="n">
        <v>0</v>
      </c>
      <c r="O219" s="35" t="inlineStr">
        <is>
          <t>Image_Carrousel</t>
        </is>
      </c>
    </row>
    <row r="220" ht="13.5" customHeight="1" s="109">
      <c r="A220" s="72" t="inlineStr">
        <is>
          <t>https://www.instagram.com/p/DVnwFrbjbOD/</t>
        </is>
      </c>
      <c r="B220" s="72" t="inlineStr">
        <is>
          <t>Politique &amp; Institutions</t>
        </is>
      </c>
      <c r="C220" s="72" t="inlineStr">
        <is>
          <t>Votations</t>
        </is>
      </c>
      <c r="D220" s="73" t="n">
        <v>50</v>
      </c>
      <c r="E220" s="73" t="inlineStr">
        <is>
          <t>N</t>
        </is>
      </c>
      <c r="F220" s="72" t="inlineStr">
        <is>
          <t>RTS publie les résultats de votations suisses de manière neutre et factuelle.</t>
        </is>
      </c>
      <c r="G220" s="73" t="inlineStr">
        <is>
          <t>Non</t>
        </is>
      </c>
      <c r="H220" s="72" t="n"/>
      <c r="I220" s="73" t="n">
        <v>0</v>
      </c>
      <c r="J220" s="73" t="n">
        <v>1</v>
      </c>
      <c r="K220" s="74">
        <f>IFERROR(I220/J220,0)</f>
        <v/>
      </c>
      <c r="L220" s="73" t="n">
        <v>105</v>
      </c>
      <c r="M220" s="73" t="n">
        <v>4070</v>
      </c>
      <c r="N220" s="73" t="n">
        <v>0</v>
      </c>
      <c r="O220" s="72" t="inlineStr">
        <is>
          <t>Image_Carrousel</t>
        </is>
      </c>
    </row>
    <row r="221" ht="13.5" customHeight="1" s="109">
      <c r="A221" s="35" t="inlineStr">
        <is>
          <t>https://www.instagram.com/p/DVl7AGyjSko/</t>
        </is>
      </c>
      <c r="B221" s="35" t="inlineStr">
        <is>
          <t>Environnement &amp; Nature</t>
        </is>
      </c>
      <c r="C221" s="35" t="inlineStr">
        <is>
          <t>Climat / Ecologie</t>
        </is>
      </c>
      <c r="D221" s="36" t="n">
        <v>40</v>
      </c>
      <c r="E221" s="36" t="inlineStr">
        <is>
          <t>N</t>
        </is>
      </c>
      <c r="F221" s="35" t="inlineStr">
        <is>
          <t>Service public, reportage factuel sur la faune et l'environnement.</t>
        </is>
      </c>
      <c r="G221" s="36" t="inlineStr">
        <is>
          <t>Non</t>
        </is>
      </c>
      <c r="H221" s="35" t="inlineStr">
        <is>
          <t>Aucun reproche direct sur le média ou son contenu.</t>
        </is>
      </c>
      <c r="I221" s="36" t="n">
        <v>0</v>
      </c>
      <c r="J221" s="36" t="n">
        <v>10</v>
      </c>
      <c r="K221" s="74">
        <f>IFERROR(I221/J221,0)</f>
        <v/>
      </c>
      <c r="L221" s="36" t="n">
        <v>35</v>
      </c>
      <c r="M221" s="36" t="n">
        <v>4026</v>
      </c>
      <c r="N221" s="36" t="n">
        <v>48609</v>
      </c>
      <c r="O221" s="35" t="inlineStr">
        <is>
          <t>Video</t>
        </is>
      </c>
    </row>
    <row r="222" ht="13.5" customHeight="1" s="109">
      <c r="A222" s="72" t="inlineStr">
        <is>
          <t>https://www.instagram.com/p/DVnUT1diduY/</t>
        </is>
      </c>
      <c r="B222" s="72" t="inlineStr">
        <is>
          <t>Culture &amp; Loisirs</t>
        </is>
      </c>
      <c r="C222" s="72" t="inlineStr">
        <is>
          <t>Sport</t>
        </is>
      </c>
      <c r="D222" s="73" t="n">
        <v>50</v>
      </c>
      <c r="E222" s="73" t="inlineStr">
        <is>
          <t>N</t>
        </is>
      </c>
      <c r="F222" s="72" t="inlineStr">
        <is>
          <t>Reportage descriptif valorisant une tradition locale sans prise de position.</t>
        </is>
      </c>
      <c r="G222" s="73" t="inlineStr">
        <is>
          <t>Non</t>
        </is>
      </c>
      <c r="H222" s="72" t="n"/>
      <c r="I222" s="73" t="n">
        <v>0</v>
      </c>
      <c r="J222" s="73" t="n">
        <v>2</v>
      </c>
      <c r="K222" s="74">
        <f>IFERROR(I222/J222,0)</f>
        <v/>
      </c>
      <c r="L222" s="73" t="n">
        <v>2</v>
      </c>
      <c r="M222" s="73" t="n">
        <v>1414</v>
      </c>
      <c r="N222" s="73" t="n">
        <v>45762</v>
      </c>
      <c r="O222" s="72" t="inlineStr">
        <is>
          <t>Video</t>
        </is>
      </c>
    </row>
    <row r="223" ht="13.5" customHeight="1" s="109">
      <c r="A223" s="35" t="inlineStr">
        <is>
          <t>https://www.instagram.com/p/DVnlXtqFSRO/</t>
        </is>
      </c>
      <c r="B223" s="35" t="inlineStr">
        <is>
          <t>International</t>
        </is>
      </c>
      <c r="C223" s="35" t="inlineStr">
        <is>
          <t>Conflits</t>
        </is>
      </c>
      <c r="D223" s="36" t="n">
        <v>50</v>
      </c>
      <c r="E223" s="36" t="inlineStr">
        <is>
          <t>N</t>
        </is>
      </c>
      <c r="F223" s="35" t="inlineStr">
        <is>
          <t>RTS est un média de service public suisse, visant l'objectivité et l'information factuelle.</t>
        </is>
      </c>
      <c r="G223" s="36" t="inlineStr">
        <is>
          <t>Oui</t>
        </is>
      </c>
      <c r="H223" s="35" t="inlineStr">
        <is>
          <t>Manque de couverture équilibrée des actions de l'autre partie au conflit.</t>
        </is>
      </c>
      <c r="I223" s="36" t="n">
        <v>1</v>
      </c>
      <c r="J223" s="36" t="n">
        <v>3</v>
      </c>
      <c r="K223" s="74">
        <f>IFERROR(I223/J223,0)</f>
        <v/>
      </c>
      <c r="L223" s="36" t="n">
        <v>218</v>
      </c>
      <c r="M223" s="36" t="n">
        <v>6972</v>
      </c>
      <c r="N223" s="36" t="n">
        <v>135692</v>
      </c>
      <c r="O223" s="35" t="inlineStr">
        <is>
          <t>Video</t>
        </is>
      </c>
    </row>
    <row r="224" ht="13.5" customHeight="1" s="109">
      <c r="A224" s="72" t="inlineStr">
        <is>
          <t>https://www.instagram.com/p/DVq9w8bAAe_/</t>
        </is>
      </c>
      <c r="B224" s="72" t="inlineStr">
        <is>
          <t>International</t>
        </is>
      </c>
      <c r="C224" s="72" t="inlineStr">
        <is>
          <t>Geopolitique</t>
        </is>
      </c>
      <c r="D224" s="73" t="n">
        <v>50</v>
      </c>
      <c r="E224" s="73" t="inlineStr">
        <is>
          <t>N</t>
        </is>
      </c>
      <c r="F224" s="72" t="inlineStr">
        <is>
          <t>Présentation factuelle de la succession et du contexte politique iranien, sans prise de position explicite.</t>
        </is>
      </c>
      <c r="G224" s="73" t="inlineStr">
        <is>
          <t>Oui</t>
        </is>
      </c>
      <c r="H224" s="72" t="inlineStr">
        <is>
          <t>Pertinence du sujet traitée questionnée par un commentaire d'internaute.</t>
        </is>
      </c>
      <c r="I224" s="73" t="n">
        <v>1</v>
      </c>
      <c r="J224" s="73" t="n">
        <v>7</v>
      </c>
      <c r="K224" s="74">
        <f>IFERROR(I224/J224,0)</f>
        <v/>
      </c>
      <c r="L224" s="73" t="n">
        <v>53</v>
      </c>
      <c r="M224" s="73" t="n">
        <v>525</v>
      </c>
      <c r="N224" s="73" t="n">
        <v>17923</v>
      </c>
      <c r="O224" s="72" t="inlineStr">
        <is>
          <t>Video</t>
        </is>
      </c>
    </row>
    <row r="225" ht="13.5" customHeight="1" s="109">
      <c r="A225" s="35" t="inlineStr">
        <is>
          <t>https://www.instagram.com/p/DVl0IilDGTv/</t>
        </is>
      </c>
      <c r="B225" s="35" t="inlineStr">
        <is>
          <t>Securite &amp; Justice</t>
        </is>
      </c>
      <c r="C225" s="35" t="inlineStr">
        <is>
          <t>Activites de Police</t>
        </is>
      </c>
      <c r="D225" s="36" t="n">
        <v>50</v>
      </c>
      <c r="E225" s="36" t="inlineStr">
        <is>
          <t>N</t>
        </is>
      </c>
      <c r="F225" s="35" t="inlineStr">
        <is>
          <t>Média public, traitement factuel et informatif d'un sujet scientifique.</t>
        </is>
      </c>
      <c r="G225" s="36" t="inlineStr">
        <is>
          <t>Non</t>
        </is>
      </c>
      <c r="H225" s="35" t="n"/>
      <c r="I225" s="36" t="n">
        <v>0</v>
      </c>
      <c r="J225" s="36" t="n">
        <v>1</v>
      </c>
      <c r="K225" s="74">
        <f>IFERROR(I225/J225,0)</f>
        <v/>
      </c>
      <c r="L225" s="36" t="n">
        <v>1</v>
      </c>
      <c r="M225" s="36" t="n">
        <v>1492</v>
      </c>
      <c r="N225" s="36" t="n">
        <v>0</v>
      </c>
      <c r="O225" s="35" t="inlineStr">
        <is>
          <t>Image_Carrousel</t>
        </is>
      </c>
    </row>
    <row r="226" ht="13.5" customHeight="1" s="109">
      <c r="A226" s="72" t="inlineStr">
        <is>
          <t>https://www.instagram.com/p/DVltHPfDCQA/</t>
        </is>
      </c>
      <c r="B226" s="72" t="inlineStr">
        <is>
          <t>Culture &amp; Loisirs</t>
        </is>
      </c>
      <c r="C226" s="72" t="inlineStr">
        <is>
          <t>Arts</t>
        </is>
      </c>
      <c r="D226" s="73" t="n">
        <v>45</v>
      </c>
      <c r="E226" s="73" t="inlineStr">
        <is>
          <t>N</t>
        </is>
      </c>
      <c r="F226" s="72" t="inlineStr">
        <is>
          <t>RTS est un service public suisse, généralement neutre avec une légère tendance à gauche.</t>
        </is>
      </c>
      <c r="G226" s="73" t="inlineStr">
        <is>
          <t>Non</t>
        </is>
      </c>
      <c r="H226" s="72" t="inlineStr">
        <is>
          <t>Aucun commentaire ne critique le média directement.</t>
        </is>
      </c>
      <c r="I226" s="73" t="n">
        <v>0</v>
      </c>
      <c r="J226" s="73" t="n">
        <v>6</v>
      </c>
      <c r="K226" s="74">
        <f>IFERROR(I226/J226,0)</f>
        <v/>
      </c>
      <c r="L226" s="73" t="n">
        <v>10</v>
      </c>
      <c r="M226" s="73" t="n">
        <v>3356</v>
      </c>
      <c r="N226" s="73" t="n">
        <v>0</v>
      </c>
      <c r="O226" s="72" t="inlineStr">
        <is>
          <t>Image_Carrousel</t>
        </is>
      </c>
    </row>
    <row r="227" ht="13.5" customHeight="1" s="109">
      <c r="A227" s="35" t="inlineStr">
        <is>
          <t>https://www.instagram.com/p/DVlWL8vDdwi/</t>
        </is>
      </c>
      <c r="B227" s="35" t="inlineStr">
        <is>
          <t>Politique &amp; Institutions</t>
        </is>
      </c>
      <c r="C227" s="35" t="inlineStr">
        <is>
          <t>Autorites</t>
        </is>
      </c>
      <c r="D227" s="36" t="n">
        <v>40</v>
      </c>
      <c r="E227" s="36" t="inlineStr">
        <is>
          <t>N</t>
        </is>
      </c>
      <c r="F227" s="35" t="inlineStr">
        <is>
          <t>RTS, service public, rapporte action gouvernementale en faveur des citoyens.</t>
        </is>
      </c>
      <c r="G227" s="36" t="inlineStr">
        <is>
          <t>Oui</t>
        </is>
      </c>
      <c r="H227" s="35" t="inlineStr">
        <is>
          <t>Manque de détails (personnes, coûts, autres compagnies) critiqué.</t>
        </is>
      </c>
      <c r="I227" s="36" t="n">
        <v>3</v>
      </c>
      <c r="J227" s="36" t="n">
        <v>10</v>
      </c>
      <c r="K227" s="74">
        <f>IFERROR(I227/J227,0)</f>
        <v/>
      </c>
      <c r="L227" s="36" t="n">
        <v>22</v>
      </c>
      <c r="M227" s="36" t="n">
        <v>4142</v>
      </c>
      <c r="N227" s="36" t="n">
        <v>0</v>
      </c>
      <c r="O227" s="35" t="inlineStr">
        <is>
          <t>Image_Carrousel</t>
        </is>
      </c>
    </row>
    <row r="228" ht="13.5" customHeight="1" s="109">
      <c r="A228" s="72" t="inlineStr">
        <is>
          <t>https://www.instagram.com/p/DVjWS73DZuE/</t>
        </is>
      </c>
      <c r="B228" s="72" t="inlineStr">
        <is>
          <t>Environnement &amp; Nature</t>
        </is>
      </c>
      <c r="C228" s="72" t="inlineStr">
        <is>
          <t>Climat / Ecologie</t>
        </is>
      </c>
      <c r="D228" s="73" t="n">
        <v>50</v>
      </c>
      <c r="E228" s="73" t="inlineStr">
        <is>
          <t>N</t>
        </is>
      </c>
      <c r="F228" s="72" t="inlineStr">
        <is>
          <t>Média public suisse, vise une information factuelle et neutre sur des sujets d'intérêt général.</t>
        </is>
      </c>
      <c r="G228" s="73" t="inlineStr">
        <is>
          <t>Non</t>
        </is>
      </c>
      <c r="H228" s="72" t="n"/>
      <c r="I228" s="73" t="n">
        <v>0</v>
      </c>
      <c r="J228" s="73" t="n">
        <v>6</v>
      </c>
      <c r="K228" s="74">
        <f>IFERROR(I228/J228,0)</f>
        <v/>
      </c>
      <c r="L228" s="73" t="n">
        <v>41</v>
      </c>
      <c r="M228" s="73" t="n">
        <v>4723</v>
      </c>
      <c r="N228" s="73" t="n">
        <v>78013</v>
      </c>
      <c r="O228" s="72" t="inlineStr">
        <is>
          <t>Video</t>
        </is>
      </c>
    </row>
    <row r="229" ht="13.5" customHeight="1" s="109">
      <c r="A229" s="35" t="inlineStr">
        <is>
          <t>https://www.instagram.com/p/DVkvdpYgYfr/</t>
        </is>
      </c>
      <c r="B229" s="35" t="inlineStr">
        <is>
          <t>Societe &amp; Droits</t>
        </is>
      </c>
      <c r="C229" s="35" t="inlineStr">
        <is>
          <t>Faits de societe</t>
        </is>
      </c>
      <c r="D229" s="36" t="n">
        <v>50</v>
      </c>
      <c r="E229" s="36" t="inlineStr">
        <is>
          <t>N</t>
        </is>
      </c>
      <c r="F229" s="35" t="inlineStr">
        <is>
          <t>Fact-check objectif d'une fausse information scientifique grand public.</t>
        </is>
      </c>
      <c r="G229" s="36" t="inlineStr">
        <is>
          <t>Oui</t>
        </is>
      </c>
      <c r="H229" s="35" t="inlineStr">
        <is>
          <t>Un commentaire interroge le public cible du média.</t>
        </is>
      </c>
      <c r="I229" s="36" t="n">
        <v>1</v>
      </c>
      <c r="J229" s="36" t="n">
        <v>9</v>
      </c>
      <c r="K229" s="74">
        <f>IFERROR(I229/J229,0)</f>
        <v/>
      </c>
      <c r="L229" s="36" t="n">
        <v>25</v>
      </c>
      <c r="M229" s="36" t="n">
        <v>1091</v>
      </c>
      <c r="N229" s="36" t="n">
        <v>26941</v>
      </c>
      <c r="O229" s="35" t="inlineStr">
        <is>
          <t>Video</t>
        </is>
      </c>
    </row>
    <row r="230" ht="13.5" customHeight="1" s="109">
      <c r="A230" s="72" t="inlineStr">
        <is>
          <t>https://www.instagram.com/p/DVjBnYNiSqX/</t>
        </is>
      </c>
      <c r="B230" s="72" t="inlineStr">
        <is>
          <t>International</t>
        </is>
      </c>
      <c r="C230" s="72" t="inlineStr">
        <is>
          <t>Geopolitique</t>
        </is>
      </c>
      <c r="D230" s="73" t="n">
        <v>45</v>
      </c>
      <c r="E230" s="73" t="inlineStr">
        <is>
          <t>N</t>
        </is>
      </c>
      <c r="F230" s="72" t="inlineStr">
        <is>
          <t>RTS rapporte la version officielle iranienne, sans éditorialisation marquée.</t>
        </is>
      </c>
      <c r="G230" s="73" t="inlineStr">
        <is>
          <t>Oui</t>
        </is>
      </c>
      <c r="H230" s="72" t="inlineStr">
        <is>
          <t>Le commentaire suggère que le média manque de contexte sur l'évangélisme sioniste.</t>
        </is>
      </c>
      <c r="I230" s="73" t="n">
        <v>1</v>
      </c>
      <c r="J230" s="73" t="n">
        <v>1</v>
      </c>
      <c r="K230" s="74">
        <f>IFERROR(I230/J230,0)</f>
        <v/>
      </c>
      <c r="L230" s="73" t="n">
        <v>365</v>
      </c>
      <c r="M230" s="73" t="n">
        <v>1516</v>
      </c>
      <c r="N230" s="73" t="n">
        <v>63493</v>
      </c>
      <c r="O230" s="72" t="inlineStr">
        <is>
          <t>Video</t>
        </is>
      </c>
    </row>
    <row r="231" ht="13.5" customHeight="1" s="109">
      <c r="A231" s="35" t="inlineStr">
        <is>
          <t>https://www.instagram.com/p/DVh880sDor5/</t>
        </is>
      </c>
      <c r="B231" s="35" t="inlineStr">
        <is>
          <t>Economie &amp; Travail</t>
        </is>
      </c>
      <c r="C231" s="35" t="inlineStr">
        <is>
          <t>Agriculture</t>
        </is>
      </c>
      <c r="D231" s="36" t="n">
        <v>40</v>
      </c>
      <c r="E231" s="36" t="inlineStr">
        <is>
          <t>N</t>
        </is>
      </c>
      <c r="F231" s="35" t="inlineStr">
        <is>
          <t>RTS présente la crise agricole et les solutions envisagées, axé sur la stabilité économique.</t>
        </is>
      </c>
      <c r="G231" s="36" t="inlineStr">
        <is>
          <t>Non</t>
        </is>
      </c>
      <c r="H231" s="35" t="n"/>
      <c r="I231" s="36" t="n">
        <v>0</v>
      </c>
      <c r="J231" s="36" t="n">
        <v>5</v>
      </c>
      <c r="K231" s="74">
        <f>IFERROR(I231/J231,0)</f>
        <v/>
      </c>
      <c r="L231" s="36" t="n">
        <v>69</v>
      </c>
      <c r="M231" s="36" t="n">
        <v>1138</v>
      </c>
      <c r="N231" s="36" t="n">
        <v>48693</v>
      </c>
      <c r="O231" s="35" t="inlineStr">
        <is>
          <t>Video</t>
        </is>
      </c>
    </row>
    <row r="232" ht="13.5" customHeight="1" s="109">
      <c r="A232" s="72" t="inlineStr">
        <is>
          <t>https://www.instagram.com/p/DVkoc4fgWR8/</t>
        </is>
      </c>
      <c r="B232" s="72" t="inlineStr">
        <is>
          <t>Environnement &amp; Nature</t>
        </is>
      </c>
      <c r="C232" s="72" t="inlineStr">
        <is>
          <t>Climat / Ecologie</t>
        </is>
      </c>
      <c r="D232" s="73" t="n">
        <v>45</v>
      </c>
      <c r="E232" s="73" t="inlineStr">
        <is>
          <t>N</t>
        </is>
      </c>
      <c r="F232" s="72" t="inlineStr">
        <is>
          <t>Média de service public, rapport factuel sur des mesures étatiques et statistiques.</t>
        </is>
      </c>
      <c r="G232" s="73" t="inlineStr">
        <is>
          <t>Oui</t>
        </is>
      </c>
      <c r="H232" s="72" t="inlineStr">
        <is>
          <t>Un commentaire reproche au média d'être de la "propaganda", suggérant un biais.</t>
        </is>
      </c>
      <c r="I232" s="73" t="n">
        <v>1</v>
      </c>
      <c r="J232" s="73" t="n">
        <v>6</v>
      </c>
      <c r="K232" s="74">
        <f>IFERROR(I232/J232,0)</f>
        <v/>
      </c>
      <c r="L232" s="73" t="n">
        <v>50</v>
      </c>
      <c r="M232" s="73" t="n">
        <v>3037</v>
      </c>
      <c r="N232" s="73" t="n">
        <v>0</v>
      </c>
      <c r="O232" s="72" t="inlineStr">
        <is>
          <t>Image_Carrousel</t>
        </is>
      </c>
    </row>
    <row r="233" ht="13.5" customHeight="1" s="109">
      <c r="A233" s="35" t="inlineStr">
        <is>
          <t>https://www.instagram.com/p/DVjIYU4jGm0/</t>
        </is>
      </c>
      <c r="B233" s="35" t="inlineStr">
        <is>
          <t>Politique &amp; Institutions</t>
        </is>
      </c>
      <c r="C233" s="35" t="inlineStr">
        <is>
          <t>Vie politique CH</t>
        </is>
      </c>
      <c r="D233" s="36" t="n">
        <v>65</v>
      </c>
      <c r="E233" s="36" t="inlineStr">
        <is>
          <t>N</t>
        </is>
      </c>
      <c r="F233" s="35" t="inlineStr">
        <is>
          <t>Titre trivialise l'argument d'inclusivité en se focalisant sur le 'pénis' de l'ours.</t>
        </is>
      </c>
      <c r="G233" s="36" t="inlineStr">
        <is>
          <t>Oui</t>
        </is>
      </c>
      <c r="H233" s="35" t="inlineStr">
        <is>
          <t>Accusation de diffusion d'un drapeau modifié par RTS.</t>
        </is>
      </c>
      <c r="I233" s="36" t="n">
        <v>1</v>
      </c>
      <c r="J233" s="36" t="n">
        <v>8</v>
      </c>
      <c r="K233" s="74">
        <f>IFERROR(I233/J233,0)</f>
        <v/>
      </c>
      <c r="L233" s="36" t="n">
        <v>274</v>
      </c>
      <c r="M233" s="36" t="n">
        <v>6106</v>
      </c>
      <c r="N233" s="36" t="n">
        <v>0</v>
      </c>
      <c r="O233" s="35" t="inlineStr">
        <is>
          <t>Image_Carrousel</t>
        </is>
      </c>
    </row>
    <row r="234" ht="13.5" customHeight="1" s="109">
      <c r="A234" s="72" t="inlineStr">
        <is>
          <t>https://www.instagram.com/p/DViznH3CE5m/</t>
        </is>
      </c>
      <c r="B234" s="72" t="inlineStr">
        <is>
          <t>Securite &amp; Justice</t>
        </is>
      </c>
      <c r="C234" s="72" t="inlineStr">
        <is>
          <t>Ordre public</t>
        </is>
      </c>
      <c r="D234" s="73" t="n">
        <v>50</v>
      </c>
      <c r="E234" s="73" t="inlineStr">
        <is>
          <t>N</t>
        </is>
      </c>
      <c r="F234" s="72" t="inlineStr">
        <is>
          <t>Média public, informe sur une décision institutionnelle de manière neutre.</t>
        </is>
      </c>
      <c r="G234" s="73" t="inlineStr">
        <is>
          <t>Oui</t>
        </is>
      </c>
      <c r="H234" s="72" t="inlineStr">
        <is>
          <t>Critique du choix de l'image (ultras), pertinence remise en question.</t>
        </is>
      </c>
      <c r="I234" s="73" t="n">
        <v>1</v>
      </c>
      <c r="J234" s="73" t="n">
        <v>8</v>
      </c>
      <c r="K234" s="74">
        <f>IFERROR(I234/J234,0)</f>
        <v/>
      </c>
      <c r="L234" s="73" t="n">
        <v>170</v>
      </c>
      <c r="M234" s="73" t="n">
        <v>9949</v>
      </c>
      <c r="N234" s="73" t="n">
        <v>0</v>
      </c>
      <c r="O234" s="72" t="inlineStr">
        <is>
          <t>Image_Carrousel</t>
        </is>
      </c>
    </row>
    <row r="235" ht="13.5" customHeight="1" s="109">
      <c r="A235" s="35" t="inlineStr">
        <is>
          <t>https://www.instagram.com/p/DVlKMtsDc3e/</t>
        </is>
      </c>
      <c r="B235" s="35" t="inlineStr">
        <is>
          <t>Politique &amp; Institutions</t>
        </is>
      </c>
      <c r="C235" s="35" t="inlineStr">
        <is>
          <t>Votations</t>
        </is>
      </c>
      <c r="D235" s="36" t="n">
        <v>50</v>
      </c>
      <c r="E235" s="36" t="inlineStr">
        <is>
          <t>N</t>
        </is>
      </c>
      <c r="F235" s="35" t="inlineStr">
        <is>
          <t>Présentation factuelle des résultats électoraux et du contexte social sans parti pris évident.</t>
        </is>
      </c>
      <c r="G235" s="36" t="inlineStr">
        <is>
          <t>Oui</t>
        </is>
      </c>
      <c r="H235" s="35" t="inlineStr">
        <is>
          <t>Critique du choix éditorial et de l'information fournie sur le candidat.</t>
        </is>
      </c>
      <c r="I235" s="36" t="n">
        <v>1</v>
      </c>
      <c r="J235" s="36" t="n">
        <v>8</v>
      </c>
      <c r="K235" s="74">
        <f>IFERROR(I235/J235,0)</f>
        <v/>
      </c>
      <c r="L235" s="36" t="n">
        <v>12</v>
      </c>
      <c r="M235" s="36" t="n">
        <v>1579</v>
      </c>
      <c r="N235" s="36" t="n">
        <v>0</v>
      </c>
      <c r="O235" s="35" t="inlineStr">
        <is>
          <t>Image_Carrousel</t>
        </is>
      </c>
    </row>
    <row r="236" ht="13.5" customHeight="1" s="109">
      <c r="A236" s="72" t="inlineStr">
        <is>
          <t>https://www.instagram.com/p/DVf-FnfAj1-/</t>
        </is>
      </c>
      <c r="B236" s="72" t="inlineStr">
        <is>
          <t>Securite &amp; Justice</t>
        </is>
      </c>
      <c r="C236" s="72" t="inlineStr">
        <is>
          <t>Ordre public</t>
        </is>
      </c>
      <c r="D236" s="73" t="n">
        <v>50</v>
      </c>
      <c r="E236" s="73" t="inlineStr">
        <is>
          <t>N</t>
        </is>
      </c>
      <c r="F236" s="72" t="inlineStr">
        <is>
          <t>L'article présente équitablement les arguments des autorités et du club sur les sanctions.</t>
        </is>
      </c>
      <c r="G236" s="73" t="inlineStr">
        <is>
          <t>Oui</t>
        </is>
      </c>
      <c r="H236" s="72" t="inlineStr">
        <is>
          <t>Un commentaire critique la discussion ou les commentaires du media.</t>
        </is>
      </c>
      <c r="I236" s="73" t="n">
        <v>1</v>
      </c>
      <c r="J236" s="73" t="n">
        <v>4</v>
      </c>
      <c r="K236" s="74">
        <f>IFERROR(I236/J236,0)</f>
        <v/>
      </c>
      <c r="L236" s="73" t="n">
        <v>98</v>
      </c>
      <c r="M236" s="73" t="n">
        <v>1741</v>
      </c>
      <c r="N236" s="73" t="n">
        <v>36806</v>
      </c>
      <c r="O236" s="72" t="inlineStr">
        <is>
          <t>Video</t>
        </is>
      </c>
    </row>
    <row r="237" ht="13.5" customHeight="1" s="109">
      <c r="A237" s="35" t="inlineStr">
        <is>
          <t>https://www.instagram.com/p/DVfzThmjDv4/</t>
        </is>
      </c>
      <c r="B237" s="35" t="inlineStr">
        <is>
          <t>Culture &amp; Loisirs</t>
        </is>
      </c>
      <c r="C237" s="35" t="inlineStr">
        <is>
          <t>Sport</t>
        </is>
      </c>
      <c r="D237" s="36" t="n">
        <v>50</v>
      </c>
      <c r="E237" s="36" t="inlineStr">
        <is>
          <t>N</t>
        </is>
      </c>
      <c r="F237" s="35" t="inlineStr">
        <is>
          <t>Information neutre sur couverture sportive par média public, promouvant l'accès.</t>
        </is>
      </c>
      <c r="G237" s="36" t="inlineStr">
        <is>
          <t>Oui</t>
        </is>
      </c>
      <c r="H237" s="35" t="inlineStr">
        <is>
          <t>Choix de contenu F1, coût redevance, priorité autres sports.</t>
        </is>
      </c>
      <c r="I237" s="36" t="n">
        <v>4</v>
      </c>
      <c r="J237" s="36" t="n">
        <v>4</v>
      </c>
      <c r="K237" s="74">
        <f>IFERROR(I237/J237,0)</f>
        <v/>
      </c>
      <c r="L237" s="36" t="n">
        <v>137</v>
      </c>
      <c r="M237" s="36" t="n">
        <v>4301</v>
      </c>
      <c r="N237" s="36" t="n">
        <v>45821</v>
      </c>
      <c r="O237" s="35" t="inlineStr">
        <is>
          <t>Video</t>
        </is>
      </c>
    </row>
    <row r="238" ht="13.5" customHeight="1" s="109">
      <c r="A238" s="72" t="inlineStr">
        <is>
          <t>https://www.instagram.com/p/DVgZnLgDS19/</t>
        </is>
      </c>
      <c r="B238" s="72" t="inlineStr">
        <is>
          <t>Environnement &amp; Nature</t>
        </is>
      </c>
      <c r="C238" s="72" t="inlineStr">
        <is>
          <t>Climat / Ecologie</t>
        </is>
      </c>
      <c r="D238" s="73" t="n">
        <v>50</v>
      </c>
      <c r="E238" s="73" t="inlineStr">
        <is>
          <t>N</t>
        </is>
      </c>
      <c r="F238" s="72" t="inlineStr">
        <is>
          <t>RTS et ATS rapportent un fait traditionnel et apolitique sans biais apparent.</t>
        </is>
      </c>
      <c r="G238" s="73" t="inlineStr">
        <is>
          <t>Oui</t>
        </is>
      </c>
      <c r="H238" s="72" t="inlineStr">
        <is>
          <t>Un commentaire interroge une faute de typographie (cédille).</t>
        </is>
      </c>
      <c r="I238" s="73" t="n">
        <v>1</v>
      </c>
      <c r="J238" s="73" t="n">
        <v>6</v>
      </c>
      <c r="K238" s="74">
        <f>IFERROR(I238/J238,0)</f>
        <v/>
      </c>
      <c r="L238" s="73" t="n">
        <v>47</v>
      </c>
      <c r="M238" s="73" t="n">
        <v>13240</v>
      </c>
      <c r="N238" s="73" t="n">
        <v>0</v>
      </c>
      <c r="O238" s="72" t="inlineStr">
        <is>
          <t>Image_Carrousel</t>
        </is>
      </c>
    </row>
    <row r="239" ht="13.5" customHeight="1" s="109">
      <c r="A239" s="35" t="inlineStr">
        <is>
          <t>https://www.instagram.com/p/DViDqVUDvAX/</t>
        </is>
      </c>
      <c r="B239" s="35" t="inlineStr">
        <is>
          <t>Societe &amp; Droits</t>
        </is>
      </c>
      <c r="C239" s="35" t="inlineStr">
        <is>
          <t>Faits de societe</t>
        </is>
      </c>
      <c r="D239" s="36" t="n">
        <v>50</v>
      </c>
      <c r="E239" s="36" t="inlineStr">
        <is>
          <t>N</t>
        </is>
      </c>
      <c r="F239" s="35" t="inlineStr">
        <is>
          <t>RTS public, traitement descriptif et équilibré d'un phénomène social.</t>
        </is>
      </c>
      <c r="G239" s="36" t="inlineStr">
        <is>
          <t>Non</t>
        </is>
      </c>
      <c r="H239" s="35" t="n"/>
      <c r="I239" s="36" t="n">
        <v>0</v>
      </c>
      <c r="J239" s="36" t="n">
        <v>3</v>
      </c>
      <c r="K239" s="74">
        <f>IFERROR(I239/J239,0)</f>
        <v/>
      </c>
      <c r="L239" s="36" t="n">
        <v>497</v>
      </c>
      <c r="M239" s="36" t="n">
        <v>4841</v>
      </c>
      <c r="N239" s="36" t="n">
        <v>0</v>
      </c>
      <c r="O239" s="35" t="inlineStr">
        <is>
          <t>Image_Carrousel</t>
        </is>
      </c>
    </row>
    <row r="240" ht="13.5" customHeight="1" s="109">
      <c r="A240" s="72" t="inlineStr">
        <is>
          <t>https://www.instagram.com/p/DViz0BnD3w0/</t>
        </is>
      </c>
      <c r="B240" s="72" t="inlineStr">
        <is>
          <t>Sante</t>
        </is>
      </c>
      <c r="C240" s="72" t="inlineStr">
        <is>
          <t>Sante publique</t>
        </is>
      </c>
      <c r="D240" s="73" t="n">
        <v>40</v>
      </c>
      <c r="E240" s="73" t="inlineStr">
        <is>
          <t>N</t>
        </is>
      </c>
      <c r="F240" s="72" t="inlineStr">
        <is>
          <t>Média public couvrant un enjeu de santé publique, souvent lié à l'écologie.</t>
        </is>
      </c>
      <c r="G240" s="73" t="inlineStr">
        <is>
          <t>Oui</t>
        </is>
      </c>
      <c r="H240" s="72" t="inlineStr">
        <is>
          <t>Précision des données et complétude du sujet abordé.</t>
        </is>
      </c>
      <c r="I240" s="73" t="n">
        <v>2</v>
      </c>
      <c r="J240" s="73" t="n">
        <v>9</v>
      </c>
      <c r="K240" s="74">
        <f>IFERROR(I240/J240,0)</f>
        <v/>
      </c>
      <c r="L240" s="73" t="n">
        <v>21</v>
      </c>
      <c r="M240" s="73" t="n">
        <v>1150</v>
      </c>
      <c r="N240" s="73" t="n">
        <v>0</v>
      </c>
      <c r="O240" s="72" t="inlineStr">
        <is>
          <t>Image_Carrousel</t>
        </is>
      </c>
    </row>
    <row r="241" ht="13.5" customHeight="1" s="109">
      <c r="A241" s="35" t="inlineStr">
        <is>
          <t>https://www.instagram.com/p/DVirx3tjD6T/</t>
        </is>
      </c>
      <c r="B241" s="35" t="inlineStr">
        <is>
          <t>International</t>
        </is>
      </c>
      <c r="C241" s="35" t="inlineStr">
        <is>
          <t>Conflits</t>
        </is>
      </c>
      <c r="D241" s="36" t="n">
        <v>50</v>
      </c>
      <c r="E241" s="36" t="inlineStr">
        <is>
          <t>N</t>
        </is>
      </c>
      <c r="F241" s="35" t="inlineStr">
        <is>
          <t>RTS info présente les faits et conséquences humanitaires sans parti pris apparent.</t>
        </is>
      </c>
      <c r="G241" s="36" t="inlineStr">
        <is>
          <t>Non</t>
        </is>
      </c>
      <c r="H241" s="35" t="inlineStr">
        <is>
          <t>Aucune critique directe du média par les commentaires.</t>
        </is>
      </c>
      <c r="I241" s="36" t="n">
        <v>0</v>
      </c>
      <c r="J241" s="36" t="n">
        <v>8</v>
      </c>
      <c r="K241" s="74">
        <f>IFERROR(I241/J241,0)</f>
        <v/>
      </c>
      <c r="L241" s="36" t="n">
        <v>180</v>
      </c>
      <c r="M241" s="36" t="n">
        <v>3714</v>
      </c>
      <c r="N241" s="36" t="n">
        <v>0</v>
      </c>
      <c r="O241" s="35" t="inlineStr">
        <is>
          <t>Image_Carrousel</t>
        </is>
      </c>
    </row>
    <row r="242" ht="13.5" customHeight="1" s="109">
      <c r="A242" s="72" t="inlineStr">
        <is>
          <t>https://www.instagram.com/p/DVgxVozDEGr/</t>
        </is>
      </c>
      <c r="B242" s="72" t="inlineStr">
        <is>
          <t>International</t>
        </is>
      </c>
      <c r="C242" s="72" t="inlineStr">
        <is>
          <t>Conflits</t>
        </is>
      </c>
      <c r="D242" s="73" t="n">
        <v>25</v>
      </c>
      <c r="E242" s="73" t="inlineStr">
        <is>
          <t>G</t>
        </is>
      </c>
      <c r="F242" s="72" t="inlineStr">
        <is>
          <t>Critique des exportations suisses à Israël, s'appuie sur le droit international et les ONG.</t>
        </is>
      </c>
      <c r="G242" s="73" t="inlineStr">
        <is>
          <t>Oui</t>
        </is>
      </c>
      <c r="H242" s="72" t="inlineStr">
        <is>
          <t>Biais perçu, comparaison à BFMTV, appel à changer de journalistes.</t>
        </is>
      </c>
      <c r="I242" s="73" t="n">
        <v>1</v>
      </c>
      <c r="J242" s="73" t="n">
        <v>7</v>
      </c>
      <c r="K242" s="74">
        <f>IFERROR(I242/J242,0)</f>
        <v/>
      </c>
      <c r="L242" s="73" t="n">
        <v>554</v>
      </c>
      <c r="M242" s="73" t="n">
        <v>7533</v>
      </c>
      <c r="N242" s="73" t="n">
        <v>0</v>
      </c>
      <c r="O242" s="72" t="inlineStr">
        <is>
          <t>Image_Carrousel</t>
        </is>
      </c>
    </row>
    <row r="243" ht="13.5" customHeight="1" s="109">
      <c r="A243" s="35" t="inlineStr">
        <is>
          <t>https://www.instagram.com/p/DV76Qn8DS-L/</t>
        </is>
      </c>
      <c r="B243" s="35" t="inlineStr">
        <is>
          <t>Culture &amp; Loisirs</t>
        </is>
      </c>
      <c r="C243" s="35" t="inlineStr">
        <is>
          <t>Arts</t>
        </is>
      </c>
      <c r="D243" s="36" t="n">
        <v>35</v>
      </c>
      <c r="E243" s="36" t="inlineStr">
        <is>
          <t>N</t>
        </is>
      </c>
      <c r="F243" s="35" t="inlineStr">
        <is>
          <t>RTS, inclut framing politique critique (Trump), souligne déclarations progressistes.</t>
        </is>
      </c>
      <c r="G243" s="36" t="inlineStr">
        <is>
          <t>Non</t>
        </is>
      </c>
      <c r="H243" s="35" t="n"/>
      <c r="I243" s="36" t="n">
        <v>0</v>
      </c>
      <c r="J243" s="36" t="n">
        <v>2</v>
      </c>
      <c r="K243" s="74">
        <f>IFERROR(I243/J243,0)</f>
        <v/>
      </c>
      <c r="L243" s="36" t="n">
        <v>34</v>
      </c>
      <c r="M243" s="36" t="n">
        <v>2806</v>
      </c>
      <c r="N243" s="36" t="n">
        <v>0</v>
      </c>
      <c r="O243" s="35" t="inlineStr">
        <is>
          <t>Image_Carrousel</t>
        </is>
      </c>
    </row>
    <row r="244" ht="13.5" customHeight="1" s="109">
      <c r="A244" s="72" t="inlineStr">
        <is>
          <t>https://www.instagram.com/p/DVqKKrMDVvj/</t>
        </is>
      </c>
      <c r="B244" s="72" t="inlineStr">
        <is>
          <t>Environnement &amp; Nature</t>
        </is>
      </c>
      <c r="C244" s="72" t="inlineStr">
        <is>
          <t>Climat / Ecologie</t>
        </is>
      </c>
      <c r="D244" s="73" t="n">
        <v>45</v>
      </c>
      <c r="E244" s="73" t="inlineStr">
        <is>
          <t>N</t>
        </is>
      </c>
      <c r="F244" s="72" t="inlineStr">
        <is>
          <t>Informatif, met en avant une alternative écologique et progrès législatif.</t>
        </is>
      </c>
      <c r="G244" s="73" t="inlineStr">
        <is>
          <t>Non</t>
        </is>
      </c>
      <c r="H244" s="72" t="n"/>
      <c r="I244" s="73" t="n">
        <v>0</v>
      </c>
      <c r="J244" s="73" t="n">
        <v>5</v>
      </c>
      <c r="K244" s="74">
        <f>IFERROR(I244/J244,0)</f>
        <v/>
      </c>
      <c r="L244" s="73" t="n">
        <v>120</v>
      </c>
      <c r="M244" s="73" t="n">
        <v>5312</v>
      </c>
      <c r="N244" s="73" t="n">
        <v>0</v>
      </c>
      <c r="O244" s="72" t="inlineStr">
        <is>
          <t>Image_Carrousel</t>
        </is>
      </c>
    </row>
    <row r="245" ht="13.5" customHeight="1" s="109">
      <c r="A245" s="35" t="inlineStr">
        <is>
          <t>https://www.instagram.com/p/DVgi-LhjHQZ/</t>
        </is>
      </c>
      <c r="B245" s="35" t="inlineStr">
        <is>
          <t>Societe &amp; Droits</t>
        </is>
      </c>
      <c r="C245" s="35" t="inlineStr">
        <is>
          <t>Faits de societe</t>
        </is>
      </c>
      <c r="D245" s="36" t="n">
        <v>50</v>
      </c>
      <c r="E245" s="36" t="inlineStr">
        <is>
          <t>N</t>
        </is>
      </c>
      <c r="F245" s="35" t="inlineStr">
        <is>
          <t>RTS est un média public suisse, contenu neutre et varié.</t>
        </is>
      </c>
      <c r="G245" s="36" t="inlineStr">
        <is>
          <t>Non</t>
        </is>
      </c>
      <c r="H245" s="35" t="n"/>
      <c r="I245" s="36" t="n">
        <v>0</v>
      </c>
      <c r="J245" s="36" t="n">
        <v>2</v>
      </c>
      <c r="K245" s="74">
        <f>IFERROR(I245/J245,0)</f>
        <v/>
      </c>
      <c r="L245" s="36" t="n">
        <v>101</v>
      </c>
      <c r="M245" s="36" t="n">
        <v>5002</v>
      </c>
      <c r="N245" s="36" t="n">
        <v>0</v>
      </c>
      <c r="O245" s="35" t="inlineStr">
        <is>
          <t>Image_Carrousel</t>
        </is>
      </c>
    </row>
    <row r="246" ht="13.5" customHeight="1" s="109">
      <c r="A246" s="72" t="inlineStr">
        <is>
          <t>https://www.instagram.com/p/DVibsO7IMpz/</t>
        </is>
      </c>
      <c r="B246" s="72" t="inlineStr">
        <is>
          <t>Societe &amp; Droits</t>
        </is>
      </c>
      <c r="C246" s="72" t="inlineStr">
        <is>
          <t>Faits de societe</t>
        </is>
      </c>
      <c r="D246" s="73" t="n">
        <v>50</v>
      </c>
      <c r="E246" s="73" t="inlineStr">
        <is>
          <t>N</t>
        </is>
      </c>
      <c r="F246" s="72" t="inlineStr">
        <is>
          <t>Média de service public, reporting factuel sur initiative de prévention d'abus.</t>
        </is>
      </c>
      <c r="G246" s="73" t="inlineStr">
        <is>
          <t>Non</t>
        </is>
      </c>
      <c r="H246" s="72" t="n"/>
      <c r="I246" s="73" t="n">
        <v>0</v>
      </c>
      <c r="J246" s="73" t="n">
        <v>8</v>
      </c>
      <c r="K246" s="74">
        <f>IFERROR(I246/J246,0)</f>
        <v/>
      </c>
      <c r="L246" s="73" t="n">
        <v>13</v>
      </c>
      <c r="M246" s="73" t="n">
        <v>1626</v>
      </c>
      <c r="N246" s="73" t="n">
        <v>0</v>
      </c>
      <c r="O246" s="72" t="inlineStr">
        <is>
          <t>Image_Carrousel</t>
        </is>
      </c>
    </row>
    <row r="247" ht="13.5" customHeight="1" s="109">
      <c r="A247" s="35" t="inlineStr">
        <is>
          <t>https://www.instagram.com/p/DVgzFUiFoaG/</t>
        </is>
      </c>
      <c r="B247" s="35" t="inlineStr">
        <is>
          <t>International</t>
        </is>
      </c>
      <c r="C247" s="35" t="inlineStr">
        <is>
          <t>Conflits</t>
        </is>
      </c>
      <c r="D247" s="36" t="n">
        <v>40</v>
      </c>
      <c r="E247" s="36" t="inlineStr">
        <is>
          <t>N</t>
        </is>
      </c>
      <c r="F247" s="35" t="inlineStr">
        <is>
          <t>RTS Info, service public, rapporte faits rapatriement citoyens suisses, ton neutre.</t>
        </is>
      </c>
      <c r="G247" s="36" t="inlineStr">
        <is>
          <t>Oui</t>
        </is>
      </c>
      <c r="H247" s="35" t="inlineStr">
        <is>
          <t>Reproche choix éditorial du sujet, préférant autre niveau information.</t>
        </is>
      </c>
      <c r="I247" s="36" t="n">
        <v>1</v>
      </c>
      <c r="J247" s="36" t="n">
        <v>4</v>
      </c>
      <c r="K247" s="74">
        <f>IFERROR(I247/J247,0)</f>
        <v/>
      </c>
      <c r="L247" s="36" t="n">
        <v>34</v>
      </c>
      <c r="M247" s="36" t="n">
        <v>4860</v>
      </c>
      <c r="N247" s="36" t="n">
        <v>0</v>
      </c>
      <c r="O247" s="35" t="inlineStr">
        <is>
          <t>Image_Carrousel</t>
        </is>
      </c>
    </row>
    <row r="248" ht="13.5" customHeight="1" s="109">
      <c r="A248" s="72" t="inlineStr">
        <is>
          <t>https://www.instagram.com/p/DVflyquCHim/</t>
        </is>
      </c>
      <c r="B248" s="72" t="inlineStr">
        <is>
          <t>Societe &amp; Droits</t>
        </is>
      </c>
      <c r="C248" s="72" t="inlineStr">
        <is>
          <t>Faits de societe</t>
        </is>
      </c>
      <c r="D248" s="73" t="n">
        <v>45</v>
      </c>
      <c r="E248" s="73" t="inlineStr">
        <is>
          <t>N</t>
        </is>
      </c>
      <c r="F248" s="72" t="inlineStr">
        <is>
          <t>RTS rapporte une tragédie humaine, soulignant les conditions précaires et l'impact social.</t>
        </is>
      </c>
      <c r="G248" s="73" t="inlineStr">
        <is>
          <t>Non</t>
        </is>
      </c>
      <c r="H248" s="72" t="n"/>
      <c r="I248" s="73" t="n">
        <v>0</v>
      </c>
      <c r="J248" s="73" t="n">
        <v>1</v>
      </c>
      <c r="K248" s="74">
        <f>IFERROR(I248/J248,0)</f>
        <v/>
      </c>
      <c r="L248" s="73" t="n">
        <v>61</v>
      </c>
      <c r="M248" s="73" t="n">
        <v>5680</v>
      </c>
      <c r="N248" s="73" t="n">
        <v>0</v>
      </c>
      <c r="O248" s="72" t="inlineStr">
        <is>
          <t>Image_Carrousel</t>
        </is>
      </c>
    </row>
    <row r="249" ht="13.5" customHeight="1" s="109">
      <c r="A249" s="35" t="inlineStr">
        <is>
          <t>https://www.instagram.com/p/DVimFE9DTuV/</t>
        </is>
      </c>
      <c r="B249" s="35" t="inlineStr">
        <is>
          <t>Economie &amp; Travail</t>
        </is>
      </c>
      <c r="C249" s="35" t="inlineStr">
        <is>
          <t>Consommation</t>
        </is>
      </c>
      <c r="D249" s="36" t="n">
        <v>50</v>
      </c>
      <c r="E249" s="36" t="inlineStr">
        <is>
          <t>N</t>
        </is>
      </c>
      <c r="F249" s="35" t="inlineStr">
        <is>
          <t>Présentation factuelle des augmentations et justifications données par le parc.</t>
        </is>
      </c>
      <c r="G249" s="36" t="inlineStr">
        <is>
          <t>Non</t>
        </is>
      </c>
      <c r="H249" s="35" t="n"/>
      <c r="I249" s="36" t="n">
        <v>0</v>
      </c>
      <c r="J249" s="36" t="n">
        <v>7</v>
      </c>
      <c r="K249" s="74">
        <f>IFERROR(I249/J249,0)</f>
        <v/>
      </c>
      <c r="L249" s="36" t="n">
        <v>57</v>
      </c>
      <c r="M249" s="36" t="n">
        <v>5886</v>
      </c>
      <c r="N249" s="36" t="n">
        <v>0</v>
      </c>
      <c r="O249" s="35" t="inlineStr">
        <is>
          <t>Image_Carrousel</t>
        </is>
      </c>
    </row>
    <row r="250" ht="13.5" customHeight="1" s="109">
      <c r="A250" s="72" t="inlineStr">
        <is>
          <t>https://www.instagram.com/p/DViKilPDTh9/</t>
        </is>
      </c>
      <c r="B250" s="72" t="inlineStr">
        <is>
          <t>Sante</t>
        </is>
      </c>
      <c r="C250" s="72" t="inlineStr">
        <is>
          <t>Sante publique</t>
        </is>
      </c>
      <c r="D250" s="73" t="n">
        <v>40</v>
      </c>
      <c r="E250" s="73" t="inlineStr">
        <is>
          <t>N</t>
        </is>
      </c>
      <c r="F250" s="72" t="inlineStr">
        <is>
          <t>RTS, service public, met en avant les risques sanitaires et la nécessité de régulation.</t>
        </is>
      </c>
      <c r="G250" s="73" t="inlineStr">
        <is>
          <t>Oui</t>
        </is>
      </c>
      <c r="H250" s="72" t="inlineStr">
        <is>
          <t>Critique de l'emploi du terme franglais 'pouches' par le média.</t>
        </is>
      </c>
      <c r="I250" s="73" t="n">
        <v>1</v>
      </c>
      <c r="J250" s="73" t="n">
        <v>8</v>
      </c>
      <c r="K250" s="74">
        <f>IFERROR(I250/J250,0)</f>
        <v/>
      </c>
      <c r="L250" s="73" t="n">
        <v>68</v>
      </c>
      <c r="M250" s="73" t="n">
        <v>7732</v>
      </c>
      <c r="N250" s="73" t="n">
        <v>0</v>
      </c>
      <c r="O250" s="72" t="inlineStr">
        <is>
          <t>Image_Carrousel</t>
        </is>
      </c>
    </row>
    <row r="251" ht="13.5" customHeight="1" s="109">
      <c r="A251" s="35" t="inlineStr">
        <is>
          <t>https://www.instagram.com/p/DVf9K3vjQxp/</t>
        </is>
      </c>
      <c r="B251" s="35" t="inlineStr">
        <is>
          <t>Politique &amp; Institutions</t>
        </is>
      </c>
      <c r="C251" s="35" t="inlineStr">
        <is>
          <t>Vie politique CH</t>
        </is>
      </c>
      <c r="D251" s="36" t="n">
        <v>50</v>
      </c>
      <c r="E251" s="36" t="inlineStr">
        <is>
          <t>N</t>
        </is>
      </c>
      <c r="F251" s="35" t="inlineStr">
        <is>
          <t>Rapport factuel et équilibré de la décision parlementaire et de l'opposition.</t>
        </is>
      </c>
      <c r="G251" s="36" t="inlineStr">
        <is>
          <t>Non</t>
        </is>
      </c>
      <c r="H251" s="35" t="n"/>
      <c r="I251" s="36" t="n">
        <v>0</v>
      </c>
      <c r="J251" s="36" t="n">
        <v>9</v>
      </c>
      <c r="K251" s="74">
        <f>IFERROR(I251/J251,0)</f>
        <v/>
      </c>
      <c r="L251" s="36" t="n">
        <v>308</v>
      </c>
      <c r="M251" s="36" t="n">
        <v>1486</v>
      </c>
      <c r="N251" s="36" t="n">
        <v>0</v>
      </c>
      <c r="O251" s="35" t="inlineStr">
        <is>
          <t>Image_Carrousel</t>
        </is>
      </c>
    </row>
    <row r="252" ht="13.5" customHeight="1" s="109">
      <c r="A252" s="72" t="inlineStr">
        <is>
          <t>https://www.instagram.com/p/DVgIGDqCHrN/</t>
        </is>
      </c>
      <c r="B252" s="72" t="inlineStr">
        <is>
          <t>International</t>
        </is>
      </c>
      <c r="C252" s="72" t="inlineStr">
        <is>
          <t>Conflits</t>
        </is>
      </c>
      <c r="D252" s="73" t="n">
        <v>45</v>
      </c>
      <c r="E252" s="73" t="inlineStr">
        <is>
          <t>N</t>
        </is>
      </c>
      <c r="F252" s="72" t="inlineStr">
        <is>
          <t>Analyse académique critique des frappes aériennes, questionnant leur efficacité et la punition des civils.</t>
        </is>
      </c>
      <c r="G252" s="73" t="inlineStr">
        <is>
          <t>Non</t>
        </is>
      </c>
      <c r="H252" s="72" t="n"/>
      <c r="I252" s="73" t="n">
        <v>0</v>
      </c>
      <c r="J252" s="73" t="n">
        <v>2</v>
      </c>
      <c r="K252" s="74">
        <f>IFERROR(I252/J252,0)</f>
        <v/>
      </c>
      <c r="L252" s="73" t="n">
        <v>119</v>
      </c>
      <c r="M252" s="73" t="n">
        <v>1849</v>
      </c>
      <c r="N252" s="73" t="n">
        <v>0</v>
      </c>
      <c r="O252" s="72" t="inlineStr">
        <is>
          <t>Image_Carrousel</t>
        </is>
      </c>
    </row>
    <row r="253" ht="13.5" customHeight="1" s="109">
      <c r="A253" s="35" t="inlineStr">
        <is>
          <t>https://www.instagram.com/p/DVfe4IIDrCM/</t>
        </is>
      </c>
      <c r="B253" s="35" t="inlineStr">
        <is>
          <t>Societe &amp; Droits</t>
        </is>
      </c>
      <c r="C253" s="35" t="inlineStr">
        <is>
          <t>Faits de societe</t>
        </is>
      </c>
      <c r="D253" s="36" t="n">
        <v>40</v>
      </c>
      <c r="E253" s="36" t="inlineStr">
        <is>
          <t>G</t>
        </is>
      </c>
      <c r="F253" s="35" t="inlineStr">
        <is>
          <t>Média service public suisse, positionnement souvent centriste-gauche.</t>
        </is>
      </c>
      <c r="G253" s="36" t="inlineStr">
        <is>
          <t>Non</t>
        </is>
      </c>
      <c r="H253" s="35" t="n"/>
      <c r="I253" s="36" t="n">
        <v>0</v>
      </c>
      <c r="J253" s="36" t="n">
        <v>10</v>
      </c>
      <c r="K253" s="74">
        <f>IFERROR(I253/J253,0)</f>
        <v/>
      </c>
      <c r="L253" s="36" t="n">
        <v>69</v>
      </c>
      <c r="M253" s="36" t="n">
        <v>13219</v>
      </c>
      <c r="N253" s="36" t="n">
        <v>0</v>
      </c>
      <c r="O253" s="35" t="inlineStr">
        <is>
          <t>Image_Carrousel</t>
        </is>
      </c>
    </row>
    <row r="254" ht="13.5" customHeight="1" s="109">
      <c r="A254" s="72" t="inlineStr">
        <is>
          <t>https://www.instagram.com/p/DVgBMUsj83G/</t>
        </is>
      </c>
      <c r="B254" s="72" t="inlineStr">
        <is>
          <t>Economie &amp; Travail</t>
        </is>
      </c>
      <c r="C254" s="72" t="inlineStr">
        <is>
          <t>Agriculture</t>
        </is>
      </c>
      <c r="D254" s="73" t="n">
        <v>45</v>
      </c>
      <c r="E254" s="73" t="inlineStr">
        <is>
          <t>N</t>
        </is>
      </c>
      <c r="F254" s="72" t="inlineStr">
        <is>
          <t>Média de service public, informe sur un événement local sans parti pris politique.</t>
        </is>
      </c>
      <c r="G254" s="73" t="inlineStr">
        <is>
          <t>Non</t>
        </is>
      </c>
      <c r="H254" s="72" t="inlineStr">
        <is>
          <t>Aucune critique du média dans les commentaires.</t>
        </is>
      </c>
      <c r="I254" s="73" t="n">
        <v>0</v>
      </c>
      <c r="J254" s="73" t="n">
        <v>9</v>
      </c>
      <c r="K254" s="74">
        <f>IFERROR(I254/J254,0)</f>
        <v/>
      </c>
      <c r="L254" s="73" t="n">
        <v>14</v>
      </c>
      <c r="M254" s="73" t="n">
        <v>2005</v>
      </c>
      <c r="N254" s="73" t="n">
        <v>0</v>
      </c>
      <c r="O254" s="72" t="inlineStr">
        <is>
          <t>Image_Carrousel</t>
        </is>
      </c>
    </row>
    <row r="255" ht="13.5" customHeight="1" s="109">
      <c r="A255" s="35" t="inlineStr">
        <is>
          <t>https://www.instagram.com/p/DVfYH4WlCd2/</t>
        </is>
      </c>
      <c r="B255" s="35" t="inlineStr">
        <is>
          <t>Societe &amp; Droits</t>
        </is>
      </c>
      <c r="C255" s="35" t="inlineStr">
        <is>
          <t>Faits de societe</t>
        </is>
      </c>
      <c r="D255" s="36" t="n">
        <v>45</v>
      </c>
      <c r="E255" s="36" t="inlineStr">
        <is>
          <t>N</t>
        </is>
      </c>
      <c r="F255" s="35" t="inlineStr">
        <is>
          <t>RTS, service public, vise la neutralité, information factuelle sur découverte historique.</t>
        </is>
      </c>
      <c r="G255" s="36" t="inlineStr">
        <is>
          <t>Non</t>
        </is>
      </c>
      <c r="H255" s="35" t="n"/>
      <c r="I255" s="36" t="n">
        <v>0</v>
      </c>
      <c r="J255" s="36" t="n">
        <v>6</v>
      </c>
      <c r="K255" s="74">
        <f>IFERROR(I255/J255,0)</f>
        <v/>
      </c>
      <c r="L255" s="36" t="n">
        <v>12</v>
      </c>
      <c r="M255" s="36" t="n">
        <v>2537</v>
      </c>
      <c r="N255" s="36" t="n">
        <v>46674</v>
      </c>
      <c r="O255" s="35" t="inlineStr">
        <is>
          <t>Video</t>
        </is>
      </c>
    </row>
    <row r="256" ht="13.5" customHeight="1" s="109">
      <c r="A256" s="72" t="inlineStr">
        <is>
          <t>https://www.instagram.com/p/DVeMg2XDe6C/</t>
        </is>
      </c>
      <c r="B256" s="72" t="inlineStr">
        <is>
          <t>Societe &amp; Droits</t>
        </is>
      </c>
      <c r="C256" s="72" t="inlineStr">
        <is>
          <t>Faits de societe</t>
        </is>
      </c>
      <c r="D256" s="73" t="n">
        <v>50</v>
      </c>
      <c r="E256" s="73" t="inlineStr">
        <is>
          <t>N</t>
        </is>
      </c>
      <c r="F256" s="72" t="inlineStr">
        <is>
          <t>RTS (public media) présente faits, motivations (maire, rappeur) avec équilibre.</t>
        </is>
      </c>
      <c r="G256" s="73" t="inlineStr">
        <is>
          <t>Non</t>
        </is>
      </c>
      <c r="H256" s="72" t="n"/>
      <c r="I256" s="73" t="n">
        <v>0</v>
      </c>
      <c r="J256" s="73" t="n">
        <v>3</v>
      </c>
      <c r="K256" s="74">
        <f>IFERROR(I256/J256,0)</f>
        <v/>
      </c>
      <c r="L256" s="73" t="n">
        <v>111</v>
      </c>
      <c r="M256" s="73" t="n">
        <v>5077</v>
      </c>
      <c r="N256" s="73" t="n">
        <v>0</v>
      </c>
      <c r="O256" s="72" t="inlineStr">
        <is>
          <t>Image_Carrousel</t>
        </is>
      </c>
    </row>
    <row r="257" ht="13.5" customHeight="1" s="109">
      <c r="A257" s="35" t="inlineStr">
        <is>
          <t>https://www.instagram.com/p/DVk6lpYjZJh/</t>
        </is>
      </c>
      <c r="B257" s="35" t="inlineStr">
        <is>
          <t>Securite &amp; Justice</t>
        </is>
      </c>
      <c r="C257" s="35" t="inlineStr">
        <is>
          <t>Justice</t>
        </is>
      </c>
      <c r="D257" s="36" t="n">
        <v>50</v>
      </c>
      <c r="E257" s="36" t="inlineStr">
        <is>
          <t>N</t>
        </is>
      </c>
      <c r="F257" s="35" t="inlineStr">
        <is>
          <t>RTS Info est un média public suisse, réputé pour sa couverture factuelle et neutre.</t>
        </is>
      </c>
      <c r="G257" s="36" t="inlineStr">
        <is>
          <t>Non</t>
        </is>
      </c>
      <c r="H257" s="35" t="inlineStr">
        <is>
          <t>Aucune critique directe du média parmi les commentaires.</t>
        </is>
      </c>
      <c r="I257" s="36" t="n">
        <v>0</v>
      </c>
      <c r="J257" s="36" t="n">
        <v>8</v>
      </c>
      <c r="K257" s="74">
        <f>IFERROR(I257/J257,0)</f>
        <v/>
      </c>
      <c r="L257" s="36" t="n">
        <v>58</v>
      </c>
      <c r="M257" s="36" t="n">
        <v>2502</v>
      </c>
      <c r="N257" s="36" t="n">
        <v>0</v>
      </c>
      <c r="O257" s="35" t="inlineStr">
        <is>
          <t>Image_Carrousel</t>
        </is>
      </c>
    </row>
    <row r="258" ht="13.5" customHeight="1" s="109">
      <c r="A258" s="72" t="inlineStr">
        <is>
          <t>https://www.instagram.com/p/DVgDIqnDc3i/</t>
        </is>
      </c>
      <c r="B258" s="72" t="inlineStr">
        <is>
          <t>Securite &amp; Justice</t>
        </is>
      </c>
      <c r="C258" s="72" t="inlineStr">
        <is>
          <t>Ordre public</t>
        </is>
      </c>
      <c r="D258" s="73" t="n">
        <v>50</v>
      </c>
      <c r="E258" s="73" t="inlineStr">
        <is>
          <t>N</t>
        </is>
      </c>
      <c r="F258" s="72" t="inlineStr">
        <is>
          <t>RTS Info, média de service public, reporte les faits de manière neutre et factuelle.</t>
        </is>
      </c>
      <c r="G258" s="73" t="inlineStr">
        <is>
          <t>Oui</t>
        </is>
      </c>
      <c r="H258" s="72" t="inlineStr">
        <is>
          <t>Le commentaire suggère un biais ou une généralisation inappropriée du média.</t>
        </is>
      </c>
      <c r="I258" s="73" t="n">
        <v>1</v>
      </c>
      <c r="J258" s="73" t="n">
        <v>6</v>
      </c>
      <c r="K258" s="74">
        <f>IFERROR(I258/J258,0)</f>
        <v/>
      </c>
      <c r="L258" s="73" t="n">
        <v>92</v>
      </c>
      <c r="M258" s="73" t="n">
        <v>5727</v>
      </c>
      <c r="N258" s="73" t="n">
        <v>0</v>
      </c>
      <c r="O258" s="72" t="inlineStr">
        <is>
          <t>Image_Carrousel</t>
        </is>
      </c>
    </row>
    <row r="259" ht="13.5" customHeight="1" s="109">
      <c r="A259" s="35" t="inlineStr">
        <is>
          <t>https://www.instagram.com/p/DVlAfDmkWzC/</t>
        </is>
      </c>
      <c r="B259" s="35" t="inlineStr">
        <is>
          <t>Societe &amp; Droits</t>
        </is>
      </c>
      <c r="C259" s="35" t="inlineStr">
        <is>
          <t>Faits de societe</t>
        </is>
      </c>
      <c r="D259" s="36" t="n">
        <v>45</v>
      </c>
      <c r="E259" s="36" t="inlineStr">
        <is>
          <t>N</t>
        </is>
      </c>
      <c r="F259" s="35" t="inlineStr">
        <is>
          <t>RTS, média public, décrit une théorie sociale sans prendre de position politique marquée.</t>
        </is>
      </c>
      <c r="G259" s="36" t="inlineStr">
        <is>
          <t>Oui</t>
        </is>
      </c>
      <c r="H259" s="35" t="inlineStr">
        <is>
          <t>Article superficiel, bourgeois, manque de nuance, non-inclusif, injonctions implicites.</t>
        </is>
      </c>
      <c r="I259" s="36" t="n">
        <v>4</v>
      </c>
      <c r="J259" s="36" t="n">
        <v>8</v>
      </c>
      <c r="K259" s="74">
        <f>IFERROR(I259/J259,0)</f>
        <v/>
      </c>
      <c r="L259" s="36" t="n">
        <v>58</v>
      </c>
      <c r="M259" s="36" t="n">
        <v>4091</v>
      </c>
      <c r="N259" s="36" t="n">
        <v>0</v>
      </c>
      <c r="O259" s="35" t="inlineStr">
        <is>
          <t>Image_Carrousel</t>
        </is>
      </c>
    </row>
    <row r="260" ht="13.5" customHeight="1" s="109">
      <c r="A260" s="72" t="inlineStr">
        <is>
          <t>https://www.instagram.com/p/DVfX_yzDTxP/</t>
        </is>
      </c>
      <c r="B260" s="72" t="inlineStr">
        <is>
          <t>Environnement &amp; Nature</t>
        </is>
      </c>
      <c r="C260" s="72" t="inlineStr">
        <is>
          <t>Climat / Ecologie</t>
        </is>
      </c>
      <c r="D260" s="73" t="n">
        <v>45</v>
      </c>
      <c r="E260" s="73" t="inlineStr">
        <is>
          <t>N</t>
        </is>
      </c>
      <c r="F260" s="72" t="inlineStr">
        <is>
          <t>Média public suisse avec une approche informative, met en avant la conservation.</t>
        </is>
      </c>
      <c r="G260" s="73" t="inlineStr">
        <is>
          <t>Oui</t>
        </is>
      </c>
      <c r="H260" s="72" t="inlineStr">
        <is>
          <t>Choix de l'exemple de 'grand rapace' (chouette effraie) est jugé inadapté.</t>
        </is>
      </c>
      <c r="I260" s="73" t="n">
        <v>1</v>
      </c>
      <c r="J260" s="73" t="n">
        <v>10</v>
      </c>
      <c r="K260" s="74">
        <f>IFERROR(I260/J260,0)</f>
        <v/>
      </c>
      <c r="L260" s="73" t="n">
        <v>35</v>
      </c>
      <c r="M260" s="73" t="n">
        <v>10850</v>
      </c>
      <c r="N260" s="73" t="n">
        <v>0</v>
      </c>
      <c r="O260" s="72" t="inlineStr">
        <is>
          <t>Image_Carrousel</t>
        </is>
      </c>
    </row>
    <row r="261" ht="13.5" customHeight="1" s="109">
      <c r="A261" s="35" t="inlineStr">
        <is>
          <t>https://www.instagram.com/p/DVeTbfUkpsL/</t>
        </is>
      </c>
      <c r="B261" s="35" t="inlineStr">
        <is>
          <t>Economie &amp; Travail</t>
        </is>
      </c>
      <c r="C261" s="35" t="inlineStr">
        <is>
          <t>Agriculture</t>
        </is>
      </c>
      <c r="D261" s="36" t="n">
        <v>50</v>
      </c>
      <c r="E261" s="36" t="inlineStr">
        <is>
          <t>N</t>
        </is>
      </c>
      <c r="F261" s="35" t="inlineStr">
        <is>
          <t>Rapport factuel et équilibré sur une crise économique agricole suisse.</t>
        </is>
      </c>
      <c r="G261" s="36" t="inlineStr">
        <is>
          <t>Non</t>
        </is>
      </c>
      <c r="H261" s="35" t="n"/>
      <c r="I261" s="36" t="n">
        <v>0</v>
      </c>
      <c r="J261" s="36" t="n">
        <v>7</v>
      </c>
      <c r="K261" s="74">
        <f>IFERROR(I261/J261,0)</f>
        <v/>
      </c>
      <c r="L261" s="36" t="n">
        <v>164</v>
      </c>
      <c r="M261" s="36" t="n">
        <v>5718</v>
      </c>
      <c r="N261" s="36" t="n">
        <v>103731</v>
      </c>
      <c r="O261" s="35" t="inlineStr">
        <is>
          <t>Video</t>
        </is>
      </c>
    </row>
    <row r="262" ht="13.5" customHeight="1" s="109">
      <c r="A262" s="72" t="inlineStr">
        <is>
          <t>https://www.instagram.com/p/DVg4JrWDNSX/</t>
        </is>
      </c>
      <c r="B262" s="72" t="inlineStr">
        <is>
          <t>Economie &amp; Travail</t>
        </is>
      </c>
      <c r="C262" s="72" t="inlineStr">
        <is>
          <t>Consommation</t>
        </is>
      </c>
      <c r="D262" s="73" t="n">
        <v>35</v>
      </c>
      <c r="E262" s="73" t="inlineStr">
        <is>
          <t>G</t>
        </is>
      </c>
      <c r="F262" s="72" t="inlineStr">
        <is>
          <t>Média public dénonçant pratiques commerciales impactant la santé publique et les droits des consommateurs.</t>
        </is>
      </c>
      <c r="G262" s="73" t="inlineStr">
        <is>
          <t>Non</t>
        </is>
      </c>
      <c r="H262" s="72" t="n"/>
      <c r="I262" s="73" t="n">
        <v>0</v>
      </c>
      <c r="J262" s="73" t="n">
        <v>7</v>
      </c>
      <c r="K262" s="74">
        <f>IFERROR(I262/J262,0)</f>
        <v/>
      </c>
      <c r="L262" s="73" t="n">
        <v>102</v>
      </c>
      <c r="M262" s="73" t="n">
        <v>4657</v>
      </c>
      <c r="N262" s="73" t="n">
        <v>0</v>
      </c>
      <c r="O262" s="72" t="inlineStr">
        <is>
          <t>Image_Carrousel</t>
        </is>
      </c>
    </row>
    <row r="263" ht="13.5" customHeight="1" s="109">
      <c r="A263" s="35" t="inlineStr">
        <is>
          <t>https://www.instagram.com/p/DVd3Wd2DAAL/</t>
        </is>
      </c>
      <c r="B263" s="35" t="inlineStr">
        <is>
          <t>Culture &amp; Loisirs</t>
        </is>
      </c>
      <c r="C263" s="35" t="inlineStr">
        <is>
          <t>Sport</t>
        </is>
      </c>
      <c r="D263" s="36" t="n">
        <v>45</v>
      </c>
      <c r="E263" s="36" t="inlineStr">
        <is>
          <t>N</t>
        </is>
      </c>
      <c r="F263" s="35" t="inlineStr">
        <is>
          <t>RTS est un média public, couvrant un événement sportif de manière factuelle.</t>
        </is>
      </c>
      <c r="G263" s="36" t="inlineStr">
        <is>
          <t>Non</t>
        </is>
      </c>
      <c r="H263" s="35" t="n"/>
      <c r="I263" s="36" t="n">
        <v>0</v>
      </c>
      <c r="J263" s="36" t="n">
        <v>8</v>
      </c>
      <c r="K263" s="74">
        <f>IFERROR(I263/J263,0)</f>
        <v/>
      </c>
      <c r="L263" s="36" t="n">
        <v>14</v>
      </c>
      <c r="M263" s="36" t="n">
        <v>5980</v>
      </c>
      <c r="N263" s="36" t="n">
        <v>95851</v>
      </c>
      <c r="O263" s="35" t="inlineStr">
        <is>
          <t>Video</t>
        </is>
      </c>
    </row>
    <row r="264" ht="13.5" customHeight="1" s="109">
      <c r="A264" s="72" t="inlineStr">
        <is>
          <t>https://www.instagram.com/p/DVeMezACXLF/</t>
        </is>
      </c>
      <c r="B264" s="72" t="inlineStr">
        <is>
          <t>Economie &amp; Travail</t>
        </is>
      </c>
      <c r="C264" s="72" t="inlineStr">
        <is>
          <t>Agriculture</t>
        </is>
      </c>
      <c r="D264" s="73" t="n">
        <v>45</v>
      </c>
      <c r="E264" s="73" t="inlineStr">
        <is>
          <t>N</t>
        </is>
      </c>
      <c r="F264" s="72" t="inlineStr">
        <is>
          <t>RTS informe sur dépendance fromages suisses à présure étrangère, soulève enjeux éthiques et économiques.</t>
        </is>
      </c>
      <c r="G264" s="73" t="inlineStr">
        <is>
          <t>Oui</t>
        </is>
      </c>
      <c r="H264" s="72" t="inlineStr">
        <is>
          <t>Lecteur demande précisions, article jugé incomplet sur infos clés.</t>
        </is>
      </c>
      <c r="I264" s="73" t="n">
        <v>1</v>
      </c>
      <c r="J264" s="73" t="n">
        <v>3</v>
      </c>
      <c r="K264" s="74">
        <f>IFERROR(I264/J264,0)</f>
        <v/>
      </c>
      <c r="L264" s="73" t="n">
        <v>132</v>
      </c>
      <c r="M264" s="73" t="n">
        <v>1961</v>
      </c>
      <c r="N264" s="73" t="n">
        <v>0</v>
      </c>
      <c r="O264" s="72" t="inlineStr">
        <is>
          <t>Image_Carrousel</t>
        </is>
      </c>
    </row>
    <row r="265" ht="13.5" customHeight="1" s="109">
      <c r="A265" s="35" t="inlineStr">
        <is>
          <t>https://www.instagram.com/p/DVdt7f1DNAY/</t>
        </is>
      </c>
      <c r="B265" s="35" t="inlineStr">
        <is>
          <t>Environnement &amp; Nature</t>
        </is>
      </c>
      <c r="C265" s="35" t="inlineStr">
        <is>
          <t>Climat / Ecologie</t>
        </is>
      </c>
      <c r="D265" s="36" t="n">
        <v>45</v>
      </c>
      <c r="E265" s="36" t="inlineStr">
        <is>
          <t>N</t>
        </is>
      </c>
      <c r="F265" s="35" t="inlineStr">
        <is>
          <t>RTSinfo rapporte des faits météorologiques suisses sur les températures hivernales élevées.</t>
        </is>
      </c>
      <c r="G265" s="36" t="inlineStr">
        <is>
          <t>Oui</t>
        </is>
      </c>
      <c r="H265" s="35" t="inlineStr">
        <is>
          <t>Demande plus de contexte, rejet explicite des statistiques.</t>
        </is>
      </c>
      <c r="I265" s="36" t="n">
        <v>2</v>
      </c>
      <c r="J265" s="36" t="n">
        <v>4</v>
      </c>
      <c r="K265" s="74">
        <f>IFERROR(I265/J265,0)</f>
        <v/>
      </c>
      <c r="L265" s="36" t="n">
        <v>18</v>
      </c>
      <c r="M265" s="36" t="n">
        <v>2674</v>
      </c>
      <c r="N265" s="36" t="n">
        <v>0</v>
      </c>
      <c r="O265" s="35" t="inlineStr">
        <is>
          <t>Image_Carrousel</t>
        </is>
      </c>
    </row>
    <row r="266" ht="13.5" customHeight="1" s="109">
      <c r="A266" s="72" t="inlineStr">
        <is>
          <t>https://www.instagram.com/p/DVdSJ-XDJ2X/</t>
        </is>
      </c>
      <c r="B266" s="72" t="inlineStr">
        <is>
          <t>International</t>
        </is>
      </c>
      <c r="C266" s="72" t="inlineStr">
        <is>
          <t>Conflits</t>
        </is>
      </c>
      <c r="D266" s="73" t="n">
        <v>35</v>
      </c>
      <c r="E266" s="73" t="inlineStr">
        <is>
          <t>G</t>
        </is>
      </c>
      <c r="F266" s="72" t="inlineStr">
        <is>
          <t>Média public suisse, écriture inclusive ('voyageur·euses'), ton informatif et neutre.</t>
        </is>
      </c>
      <c r="G266" s="73" t="inlineStr">
        <is>
          <t>Non</t>
        </is>
      </c>
      <c r="H266" s="72" t="n"/>
      <c r="I266" s="73" t="n">
        <v>0</v>
      </c>
      <c r="J266" s="73" t="n">
        <v>6</v>
      </c>
      <c r="K266" s="74">
        <f>IFERROR(I266/J266,0)</f>
        <v/>
      </c>
      <c r="L266" s="73" t="n">
        <v>96</v>
      </c>
      <c r="M266" s="73" t="n">
        <v>6071</v>
      </c>
      <c r="N266" s="73" t="n">
        <v>0</v>
      </c>
      <c r="O266" s="72" t="inlineStr">
        <is>
          <t>Image_Carrousel</t>
        </is>
      </c>
    </row>
    <row r="267" ht="13.5" customHeight="1" s="109">
      <c r="A267" s="35" t="inlineStr">
        <is>
          <t>https://www.instagram.com/p/DVczSeED7N7/</t>
        </is>
      </c>
      <c r="B267" s="35" t="inlineStr">
        <is>
          <t>Societe &amp; Droits</t>
        </is>
      </c>
      <c r="C267" s="35" t="inlineStr">
        <is>
          <t>Faits de societe</t>
        </is>
      </c>
      <c r="D267" s="36" t="n">
        <v>45</v>
      </c>
      <c r="E267" s="36" t="inlineStr">
        <is>
          <t>N</t>
        </is>
      </c>
      <c r="F267" s="35" t="inlineStr">
        <is>
          <t>RTS aborde la discrimination sociale, appelant à un changement législatif et de mentalité.</t>
        </is>
      </c>
      <c r="G267" s="36" t="inlineStr">
        <is>
          <t>Oui</t>
        </is>
      </c>
      <c r="H267" s="35" t="inlineStr">
        <is>
          <t>Un commentaire questionne le focus exclusif sur la grossophobie.</t>
        </is>
      </c>
      <c r="I267" s="36" t="n">
        <v>1</v>
      </c>
      <c r="J267" s="36" t="n">
        <v>8</v>
      </c>
      <c r="K267" s="74">
        <f>IFERROR(I267/J267,0)</f>
        <v/>
      </c>
      <c r="L267" s="36" t="n">
        <v>248</v>
      </c>
      <c r="M267" s="36" t="n">
        <v>5452</v>
      </c>
      <c r="N267" s="36" t="n">
        <v>108420</v>
      </c>
      <c r="O267" s="35" t="inlineStr">
        <is>
          <t>Video</t>
        </is>
      </c>
    </row>
    <row r="268" ht="13.5" customHeight="1" s="109">
      <c r="A268" s="72" t="inlineStr">
        <is>
          <t>https://www.instagram.com/p/DVc6JasAXwA/</t>
        </is>
      </c>
      <c r="B268" s="72" t="inlineStr">
        <is>
          <t>Securite &amp; Justice</t>
        </is>
      </c>
      <c r="C268" s="72" t="inlineStr">
        <is>
          <t>Justice</t>
        </is>
      </c>
      <c r="D268" s="73" t="n">
        <v>35</v>
      </c>
      <c r="E268" s="73" t="inlineStr">
        <is>
          <t>G</t>
        </is>
      </c>
      <c r="F268" s="72" t="inlineStr">
        <is>
          <t>Média de service public. Aborde une problématique sociale liée au système carcéral et légal.</t>
        </is>
      </c>
      <c r="G268" s="73" t="inlineStr">
        <is>
          <t>Non</t>
        </is>
      </c>
      <c r="H268" s="72" t="n"/>
      <c r="I268" s="73" t="n">
        <v>0</v>
      </c>
      <c r="J268" s="73" t="n">
        <v>4</v>
      </c>
      <c r="K268" s="74">
        <f>IFERROR(I268/J268,0)</f>
        <v/>
      </c>
      <c r="L268" s="73" t="n">
        <v>248</v>
      </c>
      <c r="M268" s="73" t="n">
        <v>7630</v>
      </c>
      <c r="N268" s="73" t="n">
        <v>129532</v>
      </c>
      <c r="O268" s="72" t="inlineStr">
        <is>
          <t>Video</t>
        </is>
      </c>
    </row>
    <row r="269" ht="13.5" customHeight="1" s="109">
      <c r="A269" s="35" t="inlineStr">
        <is>
          <t>https://www.instagram.com/p/DVdjSzWjzOg/</t>
        </is>
      </c>
      <c r="B269" s="35" t="inlineStr">
        <is>
          <t>Politique &amp; Institutions</t>
        </is>
      </c>
      <c r="C269" s="35" t="inlineStr">
        <is>
          <t>Autorites</t>
        </is>
      </c>
      <c r="D269" s="36" t="n">
        <v>50</v>
      </c>
      <c r="E269" s="36" t="inlineStr">
        <is>
          <t>N</t>
        </is>
      </c>
      <c r="F269" s="35" t="inlineStr">
        <is>
          <t>RTSinfo, ton neutre et factuel. Média public souvent perçu centre.</t>
        </is>
      </c>
      <c r="G269" s="36" t="inlineStr">
        <is>
          <t>Non</t>
        </is>
      </c>
      <c r="H269" s="35" t="inlineStr">
        <is>
          <t>Aucune critique du media par les commentaires fournis.</t>
        </is>
      </c>
      <c r="I269" s="36" t="n">
        <v>0</v>
      </c>
      <c r="J269" s="36" t="n">
        <v>7</v>
      </c>
      <c r="K269" s="74">
        <f>IFERROR(I269/J269,0)</f>
        <v/>
      </c>
      <c r="L269" s="36" t="n">
        <v>378</v>
      </c>
      <c r="M269" s="36" t="n">
        <v>26329</v>
      </c>
      <c r="N269" s="36" t="n">
        <v>0</v>
      </c>
      <c r="O269" s="35" t="inlineStr">
        <is>
          <t>Image_Carrousel</t>
        </is>
      </c>
    </row>
    <row r="270" ht="13.5" customHeight="1" s="109">
      <c r="A270" s="72" t="inlineStr">
        <is>
          <t>https://www.instagram.com/p/DVd4Q6Ljdc_/</t>
        </is>
      </c>
      <c r="B270" s="72" t="inlineStr">
        <is>
          <t>International</t>
        </is>
      </c>
      <c r="C270" s="72" t="inlineStr">
        <is>
          <t>Conflits</t>
        </is>
      </c>
      <c r="D270" s="73" t="n">
        <v>50</v>
      </c>
      <c r="E270" s="73" t="inlineStr">
        <is>
          <t>N</t>
        </is>
      </c>
      <c r="F270" s="72" t="inlineStr">
        <is>
          <t>Service public, rapport factuel d'un événement militaire international.</t>
        </is>
      </c>
      <c r="G270" s="73" t="inlineStr">
        <is>
          <t>Oui</t>
        </is>
      </c>
      <c r="H270" s="72" t="inlineStr">
        <is>
          <t>Accusations d'omission d'informations et de propagande.</t>
        </is>
      </c>
      <c r="I270" s="73" t="n">
        <v>2</v>
      </c>
      <c r="J270" s="73" t="n">
        <v>5</v>
      </c>
      <c r="K270" s="74">
        <f>IFERROR(I270/J270,0)</f>
        <v/>
      </c>
      <c r="L270" s="73" t="n">
        <v>71</v>
      </c>
      <c r="M270" s="73" t="n">
        <v>3973</v>
      </c>
      <c r="N270" s="73" t="n">
        <v>0</v>
      </c>
      <c r="O270" s="72" t="inlineStr">
        <is>
          <t>Image_Carrousel</t>
        </is>
      </c>
    </row>
    <row r="271" ht="13.5" customHeight="1" s="109">
      <c r="A271" s="35" t="inlineStr">
        <is>
          <t>https://www.instagram.com/p/DVdcaE4Dw7Q/</t>
        </is>
      </c>
      <c r="B271" s="35" t="inlineStr">
        <is>
          <t>Culture &amp; Loisirs</t>
        </is>
      </c>
      <c r="C271" s="35" t="inlineStr">
        <is>
          <t>Medias</t>
        </is>
      </c>
      <c r="D271" s="36" t="n">
        <v>50</v>
      </c>
      <c r="E271" s="36" t="inlineStr">
        <is>
          <t>N</t>
        </is>
      </c>
      <c r="F271" s="35" t="inlineStr">
        <is>
          <t>RTSinfo rapporte un événement culturel populaire de manière neutre et informative.</t>
        </is>
      </c>
      <c r="G271" s="36" t="inlineStr">
        <is>
          <t>Non</t>
        </is>
      </c>
      <c r="H271" s="35" t="n"/>
      <c r="I271" s="36" t="n">
        <v>0</v>
      </c>
      <c r="J271" s="36" t="n">
        <v>9</v>
      </c>
      <c r="K271" s="74">
        <f>IFERROR(I271/J271,0)</f>
        <v/>
      </c>
      <c r="L271" s="36" t="n">
        <v>58</v>
      </c>
      <c r="M271" s="36" t="n">
        <v>11844</v>
      </c>
      <c r="N271" s="36" t="n">
        <v>0</v>
      </c>
      <c r="O271" s="35" t="inlineStr">
        <is>
          <t>Image_Carrousel</t>
        </is>
      </c>
    </row>
    <row r="272" ht="13.5" customHeight="1" s="109">
      <c r="A272" s="72" t="inlineStr">
        <is>
          <t>https://www.instagram.com/p/DVeG1qoD66S/</t>
        </is>
      </c>
      <c r="B272" s="72" t="inlineStr">
        <is>
          <t>International</t>
        </is>
      </c>
      <c r="C272" s="72" t="inlineStr">
        <is>
          <t>Conflits</t>
        </is>
      </c>
      <c r="D272" s="73" t="n">
        <v>50</v>
      </c>
      <c r="E272" s="73" t="inlineStr">
        <is>
          <t>N</t>
        </is>
      </c>
      <c r="F272" s="72" t="inlineStr">
        <is>
          <t>Présentation factuelle des événements et analyse équilibrée des experts, cherchant à rassurer.</t>
        </is>
      </c>
      <c r="G272" s="73" t="inlineStr">
        <is>
          <t>Oui</t>
        </is>
      </c>
      <c r="H272" s="72" t="inlineStr">
        <is>
          <t>Critique d'une erreur factuelle concernant l'origine d'une attaque de drone.</t>
        </is>
      </c>
      <c r="I272" s="73" t="n">
        <v>1</v>
      </c>
      <c r="J272" s="73" t="n">
        <v>5</v>
      </c>
      <c r="K272" s="74">
        <f>IFERROR(I272/J272,0)</f>
        <v/>
      </c>
      <c r="L272" s="73" t="n">
        <v>84</v>
      </c>
      <c r="M272" s="73" t="n">
        <v>4837</v>
      </c>
      <c r="N272" s="73" t="n">
        <v>83054</v>
      </c>
      <c r="O272" s="72" t="inlineStr">
        <is>
          <t>Video</t>
        </is>
      </c>
    </row>
    <row r="273" ht="13.5" customHeight="1" s="109">
      <c r="A273" s="35" t="inlineStr">
        <is>
          <t>https://www.instagram.com/p/DVanyjrjOSF/</t>
        </is>
      </c>
      <c r="B273" s="35" t="inlineStr">
        <is>
          <t>International</t>
        </is>
      </c>
      <c r="C273" s="35" t="inlineStr">
        <is>
          <t>Conflits</t>
        </is>
      </c>
      <c r="D273" s="36" t="n">
        <v>60</v>
      </c>
      <c r="E273" s="36" t="inlineStr">
        <is>
          <t>N</t>
        </is>
      </c>
      <c r="F273" s="35" t="inlineStr">
        <is>
          <t>Langage 'déploiement' perçu comme doux, manque de distance vis-à-vis source officielle.</t>
        </is>
      </c>
      <c r="G273" s="36" t="inlineStr">
        <is>
          <t>Oui</t>
        </is>
      </c>
      <c r="H273" s="35" t="inlineStr">
        <is>
          <t>Biais pro-israélien, langage édulcoré, manque d'objectivité.</t>
        </is>
      </c>
      <c r="I273" s="36" t="n">
        <v>5</v>
      </c>
      <c r="J273" s="36" t="n">
        <v>10</v>
      </c>
      <c r="K273" s="74">
        <f>IFERROR(I273/J273,0)</f>
        <v/>
      </c>
      <c r="L273" s="36" t="n">
        <v>116</v>
      </c>
      <c r="M273" s="36" t="n">
        <v>2906</v>
      </c>
      <c r="N273" s="36" t="n">
        <v>0</v>
      </c>
      <c r="O273" s="35" t="inlineStr">
        <is>
          <t>Image_Carrousel</t>
        </is>
      </c>
    </row>
    <row r="274" ht="13.5" customHeight="1" s="109">
      <c r="A274" s="72" t="inlineStr">
        <is>
          <t>https://www.instagram.com/p/DVdmwTCjL47/</t>
        </is>
      </c>
      <c r="B274" s="72" t="inlineStr">
        <is>
          <t>Societe &amp; Droits</t>
        </is>
      </c>
      <c r="C274" s="72" t="inlineStr">
        <is>
          <t>Faits de societe</t>
        </is>
      </c>
      <c r="D274" s="73" t="n">
        <v>50</v>
      </c>
      <c r="E274" s="73" t="inlineStr">
        <is>
          <t>N</t>
        </is>
      </c>
      <c r="F274" s="72" t="inlineStr">
        <is>
          <t>Média public suisse, reportage factuel sur un événement tragique international.</t>
        </is>
      </c>
      <c r="G274" s="73" t="inlineStr">
        <is>
          <t>Non</t>
        </is>
      </c>
      <c r="H274" s="72" t="inlineStr">
        <is>
          <t>Aucune critique des lecteurs concernant le contenu ou le ton.</t>
        </is>
      </c>
      <c r="I274" s="73" t="n">
        <v>0</v>
      </c>
      <c r="J274" s="73" t="n">
        <v>9</v>
      </c>
      <c r="K274" s="74">
        <f>IFERROR(I274/J274,0)</f>
        <v/>
      </c>
      <c r="L274" s="73" t="n">
        <v>9</v>
      </c>
      <c r="M274" s="73" t="n">
        <v>1818</v>
      </c>
      <c r="N274" s="73" t="n">
        <v>0</v>
      </c>
      <c r="O274" s="72" t="inlineStr">
        <is>
          <t>Image_Carrousel</t>
        </is>
      </c>
    </row>
    <row r="275" ht="13.5" customHeight="1" s="109">
      <c r="A275" s="35" t="inlineStr">
        <is>
          <t>https://www.instagram.com/p/DVbFbl1DX6E/</t>
        </is>
      </c>
      <c r="B275" s="35" t="inlineStr">
        <is>
          <t>Securite &amp; Justice</t>
        </is>
      </c>
      <c r="C275" s="35" t="inlineStr">
        <is>
          <t>Activites de Police</t>
        </is>
      </c>
      <c r="D275" s="36" t="n">
        <v>40</v>
      </c>
      <c r="E275" s="36" t="inlineStr">
        <is>
          <t>N</t>
        </is>
      </c>
      <c r="F275" s="35" t="inlineStr">
        <is>
          <t>RTS, service public, rapporte des dysfonctionnements internes sans prise de position.</t>
        </is>
      </c>
      <c r="G275" s="36" t="inlineStr">
        <is>
          <t>Non</t>
        </is>
      </c>
      <c r="H275" s="35" t="n"/>
      <c r="I275" s="36" t="n">
        <v>0</v>
      </c>
      <c r="J275" s="36" t="n">
        <v>3</v>
      </c>
      <c r="K275" s="74">
        <f>IFERROR(I275/J275,0)</f>
        <v/>
      </c>
      <c r="L275" s="36" t="n">
        <v>148</v>
      </c>
      <c r="M275" s="36" t="n">
        <v>4407</v>
      </c>
      <c r="N275" s="36" t="n">
        <v>0</v>
      </c>
      <c r="O275" s="35" t="inlineStr">
        <is>
          <t>Image_Carrousel</t>
        </is>
      </c>
    </row>
    <row r="276" ht="13.5" customHeight="1" s="109">
      <c r="A276" s="72" t="inlineStr">
        <is>
          <t>https://www.instagram.com/p/DVa-gFKDf-x/</t>
        </is>
      </c>
      <c r="B276" s="72" t="inlineStr">
        <is>
          <t>Societe &amp; Droits</t>
        </is>
      </c>
      <c r="C276" s="72" t="inlineStr">
        <is>
          <t>Education</t>
        </is>
      </c>
      <c r="D276" s="73" t="n">
        <v>40</v>
      </c>
      <c r="E276" s="73" t="inlineStr">
        <is>
          <t>N</t>
        </is>
      </c>
      <c r="F276" s="72" t="inlineStr">
        <is>
          <t>Reportage objectif sur mobilisation sociale, donne voix aux acteurs concernés.</t>
        </is>
      </c>
      <c r="G276" s="73" t="inlineStr">
        <is>
          <t>Non</t>
        </is>
      </c>
      <c r="H276" s="72" t="n"/>
      <c r="I276" s="73" t="n">
        <v>0</v>
      </c>
      <c r="J276" s="73" t="n">
        <v>6</v>
      </c>
      <c r="K276" s="74">
        <f>IFERROR(I276/J276,0)</f>
        <v/>
      </c>
      <c r="L276" s="73" t="n">
        <v>61</v>
      </c>
      <c r="M276" s="73" t="n">
        <v>6601</v>
      </c>
      <c r="N276" s="73" t="n">
        <v>0</v>
      </c>
      <c r="O276" s="72" t="inlineStr">
        <is>
          <t>Image_Carrousel</t>
        </is>
      </c>
    </row>
    <row r="277" ht="13.5" customHeight="1" s="109">
      <c r="A277" s="35" t="inlineStr">
        <is>
          <t>https://www.instagram.com/p/DVgO9IxjaQC/</t>
        </is>
      </c>
      <c r="B277" s="35" t="inlineStr">
        <is>
          <t>Culture &amp; Loisirs</t>
        </is>
      </c>
      <c r="C277" s="35" t="inlineStr">
        <is>
          <t>Medias</t>
        </is>
      </c>
      <c r="D277" s="36" t="n">
        <v>40</v>
      </c>
      <c r="E277" s="36" t="inlineStr">
        <is>
          <t>N</t>
        </is>
      </c>
      <c r="F277" s="35" t="inlineStr">
        <is>
          <t>Média de service public suisse, réputé pour son impartialité générale.</t>
        </is>
      </c>
      <c r="G277" s="36" t="inlineStr">
        <is>
          <t>Non</t>
        </is>
      </c>
      <c r="H277" s="35" t="n"/>
      <c r="I277" s="36" t="n">
        <v>0</v>
      </c>
      <c r="J277" s="36" t="n">
        <v>8</v>
      </c>
      <c r="K277" s="74">
        <f>IFERROR(I277/J277,0)</f>
        <v/>
      </c>
      <c r="L277" s="36" t="n">
        <v>12</v>
      </c>
      <c r="M277" s="36" t="n">
        <v>3231</v>
      </c>
      <c r="N277" s="36" t="n">
        <v>0</v>
      </c>
      <c r="O277" s="35" t="inlineStr">
        <is>
          <t>Image_Carrousel</t>
        </is>
      </c>
    </row>
    <row r="278" ht="13.5" customHeight="1" s="109">
      <c r="A278" s="72" t="inlineStr">
        <is>
          <t>https://www.instagram.com/p/DVbJpGjGgkc/</t>
        </is>
      </c>
      <c r="B278" s="72" t="inlineStr">
        <is>
          <t>Societe &amp; Droits</t>
        </is>
      </c>
      <c r="C278" s="72" t="inlineStr">
        <is>
          <t>Faits de societe</t>
        </is>
      </c>
      <c r="D278" s="73" t="n">
        <v>45</v>
      </c>
      <c r="E278" s="73" t="inlineStr">
        <is>
          <t>N</t>
        </is>
      </c>
      <c r="F278" s="72" t="inlineStr">
        <is>
          <t>RTS, service public, rapport factuel d'un incident; perçu légèrement à gauche.</t>
        </is>
      </c>
      <c r="G278" s="73" t="inlineStr">
        <is>
          <t>Oui</t>
        </is>
      </c>
      <c r="H278" s="72" t="inlineStr">
        <is>
          <t>Un commentaire critique l'agenda perçu du média (promotion vélo).</t>
        </is>
      </c>
      <c r="I278" s="73" t="n">
        <v>1</v>
      </c>
      <c r="J278" s="73" t="n">
        <v>10</v>
      </c>
      <c r="K278" s="74">
        <f>IFERROR(I278/J278,0)</f>
        <v/>
      </c>
      <c r="L278" s="73" t="n">
        <v>74</v>
      </c>
      <c r="M278" s="73" t="n">
        <v>4881</v>
      </c>
      <c r="N278" s="73" t="n">
        <v>0</v>
      </c>
      <c r="O278" s="72" t="inlineStr">
        <is>
          <t>Image_Carrousel</t>
        </is>
      </c>
    </row>
    <row r="279" ht="13.5" customHeight="1" s="109">
      <c r="A279" s="35" t="inlineStr">
        <is>
          <t>https://www.instagram.com/p/DVd-C_hjFSD/</t>
        </is>
      </c>
      <c r="B279" s="35" t="inlineStr">
        <is>
          <t>Societe &amp; Droits</t>
        </is>
      </c>
      <c r="C279" s="35" t="inlineStr">
        <is>
          <t>Faits de societe</t>
        </is>
      </c>
      <c r="D279" s="36" t="n">
        <v>45</v>
      </c>
      <c r="E279" s="36" t="inlineStr">
        <is>
          <t>N</t>
        </is>
      </c>
      <c r="F279" s="35" t="inlineStr">
        <is>
          <t>Service public, explore themes modernes et sociaux avec une approche équilibrée.</t>
        </is>
      </c>
      <c r="G279" s="36" t="inlineStr">
        <is>
          <t>Non</t>
        </is>
      </c>
      <c r="H279" s="35" t="inlineStr">
        <is>
          <t>Aucune critique du média dans les commentaires.</t>
        </is>
      </c>
      <c r="I279" s="36" t="n">
        <v>0</v>
      </c>
      <c r="J279" s="36" t="n">
        <v>7</v>
      </c>
      <c r="K279" s="74">
        <f>IFERROR(I279/J279,0)</f>
        <v/>
      </c>
      <c r="L279" s="36" t="n">
        <v>66</v>
      </c>
      <c r="M279" s="36" t="n">
        <v>2649</v>
      </c>
      <c r="N279" s="36" t="n">
        <v>0</v>
      </c>
      <c r="O279" s="35" t="inlineStr">
        <is>
          <t>Image_Carrousel</t>
        </is>
      </c>
    </row>
    <row r="280" ht="13.5" customHeight="1" s="109">
      <c r="A280" s="72" t="inlineStr">
        <is>
          <t>https://www.instagram.com/p/DVatSXSjMHH/</t>
        </is>
      </c>
      <c r="B280" s="72" t="inlineStr">
        <is>
          <t>International</t>
        </is>
      </c>
      <c r="C280" s="72" t="inlineStr">
        <is>
          <t>Conflits</t>
        </is>
      </c>
      <c r="D280" s="73" t="n">
        <v>50</v>
      </c>
      <c r="E280" s="73" t="inlineStr">
        <is>
          <t>N</t>
        </is>
      </c>
      <c r="F280" s="72" t="inlineStr">
        <is>
          <t>Rapport factuel des objectifs des acteurs étatiques dans un conflit.</t>
        </is>
      </c>
      <c r="G280" s="73" t="inlineStr">
        <is>
          <t>Non</t>
        </is>
      </c>
      <c r="H280" s="72" t="n"/>
      <c r="I280" s="73" t="n">
        <v>0</v>
      </c>
      <c r="J280" s="73" t="n">
        <v>4</v>
      </c>
      <c r="K280" s="74">
        <f>IFERROR(I280/J280,0)</f>
        <v/>
      </c>
      <c r="L280" s="73" t="n">
        <v>164</v>
      </c>
      <c r="M280" s="73" t="n">
        <v>2490</v>
      </c>
      <c r="N280" s="73" t="n">
        <v>0</v>
      </c>
      <c r="O280" s="72" t="inlineStr">
        <is>
          <t>Image_Carrousel</t>
        </is>
      </c>
    </row>
    <row r="281" ht="13.5" customHeight="1" s="109">
      <c r="A281" s="35" t="inlineStr">
        <is>
          <t>https://www.instagram.com/p/DVaVTrCFl7v/</t>
        </is>
      </c>
      <c r="B281" s="35" t="inlineStr">
        <is>
          <t>Economie &amp; Travail</t>
        </is>
      </c>
      <c r="C281" s="35" t="inlineStr">
        <is>
          <t>Consommation</t>
        </is>
      </c>
      <c r="D281" s="36" t="n">
        <v>45</v>
      </c>
      <c r="E281" s="36" t="inlineStr">
        <is>
          <t>N</t>
        </is>
      </c>
      <c r="F281" s="35" t="inlineStr">
        <is>
          <t>Média public suisse, vise l'objectivité, réputation plutôt neutre/centre-gauche.</t>
        </is>
      </c>
      <c r="G281" s="36" t="inlineStr">
        <is>
          <t>Non</t>
        </is>
      </c>
      <c r="H281" s="35" t="n"/>
      <c r="I281" s="36" t="n">
        <v>0</v>
      </c>
      <c r="J281" s="36" t="n">
        <v>10</v>
      </c>
      <c r="K281" s="74">
        <f>IFERROR(I281/J281,0)</f>
        <v/>
      </c>
      <c r="L281" s="36" t="n">
        <v>152</v>
      </c>
      <c r="M281" s="36" t="n">
        <v>6247</v>
      </c>
      <c r="N281" s="36" t="n">
        <v>0</v>
      </c>
      <c r="O281" s="35" t="inlineStr">
        <is>
          <t>Image_Carrousel</t>
        </is>
      </c>
    </row>
    <row r="282" ht="13.5" customHeight="1" s="109">
      <c r="A282" s="72" t="inlineStr">
        <is>
          <t>https://www.instagram.com/p/DVazopfAl6H/</t>
        </is>
      </c>
      <c r="B282" s="72" t="inlineStr">
        <is>
          <t>Culture &amp; Loisirs</t>
        </is>
      </c>
      <c r="C282" s="72" t="inlineStr">
        <is>
          <t>Sport</t>
        </is>
      </c>
      <c r="D282" s="73" t="n">
        <v>50</v>
      </c>
      <c r="E282" s="73" t="inlineStr">
        <is>
          <t>N</t>
        </is>
      </c>
      <c r="F282" s="72" t="inlineStr">
        <is>
          <t>Média public suisse, valorise l'empathie et le soutien communautaire post-tragédie.</t>
        </is>
      </c>
      <c r="G282" s="73" t="inlineStr">
        <is>
          <t>Non</t>
        </is>
      </c>
      <c r="H282" s="72" t="n"/>
      <c r="I282" s="73" t="n">
        <v>0</v>
      </c>
      <c r="J282" s="73" t="n">
        <v>10</v>
      </c>
      <c r="K282" s="74">
        <f>IFERROR(I282/J282,0)</f>
        <v/>
      </c>
      <c r="L282" s="73" t="n">
        <v>31</v>
      </c>
      <c r="M282" s="73" t="n">
        <v>4893</v>
      </c>
      <c r="N282" s="73" t="n">
        <v>0</v>
      </c>
      <c r="O282" s="72" t="inlineStr">
        <is>
          <t>Image_Carrousel</t>
        </is>
      </c>
    </row>
    <row r="283" ht="13.5" customHeight="1" s="109">
      <c r="A283" s="35" t="inlineStr">
        <is>
          <t>https://www.instagram.com/p/DVYZwlXjy0r/</t>
        </is>
      </c>
      <c r="B283" s="35" t="inlineStr">
        <is>
          <t>Economie &amp; Travail</t>
        </is>
      </c>
      <c r="C283" s="35" t="inlineStr">
        <is>
          <t>Marche du travail</t>
        </is>
      </c>
      <c r="D283" s="36" t="n">
        <v>45</v>
      </c>
      <c r="E283" s="36" t="inlineStr">
        <is>
          <t>N</t>
        </is>
      </c>
      <c r="F283" s="35" t="inlineStr">
        <is>
          <t>Reportage factuel sur les défis d'une industrie établie, citant un représentant du secteur.</t>
        </is>
      </c>
      <c r="G283" s="36" t="inlineStr">
        <is>
          <t>Non</t>
        </is>
      </c>
      <c r="H283" s="35" t="n"/>
      <c r="I283" s="36" t="n">
        <v>0</v>
      </c>
      <c r="J283" s="36" t="n">
        <v>9</v>
      </c>
      <c r="K283" s="74">
        <f>IFERROR(I283/J283,0)</f>
        <v/>
      </c>
      <c r="L283" s="36" t="n">
        <v>12</v>
      </c>
      <c r="M283" s="36" t="n">
        <v>2261</v>
      </c>
      <c r="N283" s="36" t="n">
        <v>0</v>
      </c>
      <c r="O283" s="35" t="inlineStr">
        <is>
          <t>Image_Carrousel</t>
        </is>
      </c>
    </row>
    <row r="284" ht="13.5" customHeight="1" s="109">
      <c r="A284" s="72" t="inlineStr">
        <is>
          <t>https://www.instagram.com/p/DVY1KyIj5_Z/</t>
        </is>
      </c>
      <c r="B284" s="72" t="inlineStr">
        <is>
          <t>International</t>
        </is>
      </c>
      <c r="C284" s="72" t="inlineStr">
        <is>
          <t>Geopolitique</t>
        </is>
      </c>
      <c r="D284" s="73" t="n">
        <v>50</v>
      </c>
      <c r="E284" s="73" t="inlineStr">
        <is>
          <t>N</t>
        </is>
      </c>
      <c r="F284" s="72" t="inlineStr">
        <is>
          <t>Factuel et explicatif sur une crise géopolitique sans parti pris évident.</t>
        </is>
      </c>
      <c r="G284" s="73" t="inlineStr">
        <is>
          <t>Oui</t>
        </is>
      </c>
      <c r="H284" s="72" t="inlineStr">
        <is>
          <t>Manque de précision terminologique (nom du Golfe).</t>
        </is>
      </c>
      <c r="I284" s="73" t="n">
        <v>1</v>
      </c>
      <c r="J284" s="73" t="n">
        <v>6</v>
      </c>
      <c r="K284" s="74">
        <f>IFERROR(I284/J284,0)</f>
        <v/>
      </c>
      <c r="L284" s="73" t="n">
        <v>15</v>
      </c>
      <c r="M284" s="73" t="n">
        <v>1439</v>
      </c>
      <c r="N284" s="73" t="n">
        <v>0</v>
      </c>
      <c r="O284" s="72" t="inlineStr">
        <is>
          <t>Image_Carrousel</t>
        </is>
      </c>
    </row>
    <row r="285" ht="13.5" customHeight="1" s="109">
      <c r="A285" s="35" t="inlineStr">
        <is>
          <t>https://www.instagram.com/p/DVYVjGMjWgR/</t>
        </is>
      </c>
      <c r="B285" s="35" t="inlineStr">
        <is>
          <t>Politique &amp; Institutions</t>
        </is>
      </c>
      <c r="C285" s="35" t="inlineStr">
        <is>
          <t>Autorites</t>
        </is>
      </c>
      <c r="D285" s="36" t="n">
        <v>40</v>
      </c>
      <c r="E285" s="36" t="inlineStr">
        <is>
          <t>G</t>
        </is>
      </c>
      <c r="F285" s="35" t="inlineStr">
        <is>
          <t>Factual, service public. Ton légèrement favorable à l'accord CH-UE.</t>
        </is>
      </c>
      <c r="G285" s="36" t="inlineStr">
        <is>
          <t>Oui</t>
        </is>
      </c>
      <c r="H285" s="35" t="inlineStr">
        <is>
          <t>Accusation de fausseté des informations.</t>
        </is>
      </c>
      <c r="I285" s="36" t="n">
        <v>1</v>
      </c>
      <c r="J285" s="36" t="n">
        <v>7</v>
      </c>
      <c r="K285" s="74">
        <f>IFERROR(I285/J285,0)</f>
        <v/>
      </c>
      <c r="L285" s="36" t="n">
        <v>324</v>
      </c>
      <c r="M285" s="36" t="n">
        <v>6159</v>
      </c>
      <c r="N285" s="36" t="n">
        <v>0</v>
      </c>
      <c r="O285" s="35" t="inlineStr">
        <is>
          <t>Image_Carrousel</t>
        </is>
      </c>
    </row>
    <row r="286" ht="13.5" customHeight="1" s="109">
      <c r="A286" s="72" t="inlineStr">
        <is>
          <t>https://www.instagram.com/p/DVYIk9TApJ-/</t>
        </is>
      </c>
      <c r="B286" s="72" t="inlineStr">
        <is>
          <t>International</t>
        </is>
      </c>
      <c r="C286" s="72" t="inlineStr">
        <is>
          <t>Conflits</t>
        </is>
      </c>
      <c r="D286" s="73" t="n">
        <v>45</v>
      </c>
      <c r="E286" s="73" t="inlineStr">
        <is>
          <t>N</t>
        </is>
      </c>
      <c r="F286" s="72" t="inlineStr">
        <is>
          <t>RTSinfo: Rapport factuel sur l'impact de conflits internationaux sur les citoyens suisses.</t>
        </is>
      </c>
      <c r="G286" s="73" t="inlineStr">
        <is>
          <t>Non</t>
        </is>
      </c>
      <c r="H286" s="72" t="n"/>
      <c r="I286" s="73" t="n">
        <v>0</v>
      </c>
      <c r="J286" s="73" t="n">
        <v>5</v>
      </c>
      <c r="K286" s="74">
        <f>IFERROR(I286/J286,0)</f>
        <v/>
      </c>
      <c r="L286" s="73" t="n">
        <v>63</v>
      </c>
      <c r="M286" s="73" t="n">
        <v>4003</v>
      </c>
      <c r="N286" s="73" t="n">
        <v>0</v>
      </c>
      <c r="O286" s="72" t="inlineStr">
        <is>
          <t>Image_Carrousel</t>
        </is>
      </c>
    </row>
    <row r="287" ht="13.5" customHeight="1" s="109">
      <c r="A287" s="35" t="inlineStr">
        <is>
          <t>https://www.instagram.com/p/DVgqhxNActY/</t>
        </is>
      </c>
      <c r="B287" s="35" t="inlineStr">
        <is>
          <t>Sante</t>
        </is>
      </c>
      <c r="C287" s="35" t="inlineStr">
        <is>
          <t>Sante publique</t>
        </is>
      </c>
      <c r="D287" s="36" t="n">
        <v>50</v>
      </c>
      <c r="E287" s="36" t="inlineStr">
        <is>
          <t>N</t>
        </is>
      </c>
      <c r="F287" s="35" t="inlineStr">
        <is>
          <t>Média de service public, information factuelle, cherche neutralité.</t>
        </is>
      </c>
      <c r="G287" s="36" t="inlineStr">
        <is>
          <t>Oui</t>
        </is>
      </c>
      <c r="H287" s="35" t="inlineStr">
        <is>
          <t>Désinformation sur santé perçue, comparaison simpliste critiquée.</t>
        </is>
      </c>
      <c r="I287" s="36" t="n">
        <v>2</v>
      </c>
      <c r="J287" s="36" t="n">
        <v>7</v>
      </c>
      <c r="K287" s="74">
        <f>IFERROR(I287/J287,0)</f>
        <v/>
      </c>
      <c r="L287" s="36" t="n">
        <v>24</v>
      </c>
      <c r="M287" s="36" t="n">
        <v>2340</v>
      </c>
      <c r="N287" s="36" t="n">
        <v>48068</v>
      </c>
      <c r="O287" s="35" t="inlineStr">
        <is>
          <t>Video</t>
        </is>
      </c>
    </row>
    <row r="288" ht="13.5" customHeight="1" s="109">
      <c r="A288" s="72" t="inlineStr">
        <is>
          <t>https://www.instagram.com/p/DVX3aLSGRP-/</t>
        </is>
      </c>
      <c r="B288" s="72" t="inlineStr">
        <is>
          <t>International</t>
        </is>
      </c>
      <c r="C288" s="72" t="inlineStr">
        <is>
          <t>Conflits</t>
        </is>
      </c>
      <c r="D288" s="73" t="n">
        <v>45</v>
      </c>
      <c r="E288" s="73" t="inlineStr">
        <is>
          <t>N</t>
        </is>
      </c>
      <c r="F288" s="72" t="inlineStr">
        <is>
          <t>RTS, média public suisse, cherche la neutralité mais peut être perçu légèrement à gauche.</t>
        </is>
      </c>
      <c r="G288" s="73" t="inlineStr">
        <is>
          <t>Oui</t>
        </is>
      </c>
      <c r="H288" s="72" t="inlineStr">
        <is>
          <t>Le média est accusé d'omettre de blâmer certains acteurs politiques.</t>
        </is>
      </c>
      <c r="I288" s="73" t="n">
        <v>1</v>
      </c>
      <c r="J288" s="73" t="n">
        <v>5</v>
      </c>
      <c r="K288" s="74">
        <f>IFERROR(I288/J288,0)</f>
        <v/>
      </c>
      <c r="L288" s="73" t="n">
        <v>11</v>
      </c>
      <c r="M288" s="73" t="n">
        <v>1535</v>
      </c>
      <c r="N288" s="73" t="n">
        <v>0</v>
      </c>
      <c r="O288" s="72" t="inlineStr">
        <is>
          <t>Image_Carrousel</t>
        </is>
      </c>
    </row>
    <row r="289" ht="13.5" customHeight="1" s="109">
      <c r="A289" s="35" t="inlineStr">
        <is>
          <t>https://www.instagram.com/p/DVdA8Iaj73p/</t>
        </is>
      </c>
      <c r="B289" s="35" t="inlineStr">
        <is>
          <t>Culture &amp; Loisirs</t>
        </is>
      </c>
      <c r="C289" s="35" t="inlineStr">
        <is>
          <t>Arts</t>
        </is>
      </c>
      <c r="D289" s="36" t="n">
        <v>45</v>
      </c>
      <c r="E289" s="36" t="inlineStr">
        <is>
          <t>N</t>
        </is>
      </c>
      <c r="F289" s="35" t="inlineStr">
        <is>
          <t>RTS, média public suisse, généralement neutre-centre-gauche.</t>
        </is>
      </c>
      <c r="G289" s="36" t="inlineStr">
        <is>
          <t>Non</t>
        </is>
      </c>
      <c r="H289" s="35" t="n"/>
      <c r="I289" s="36" t="n">
        <v>0</v>
      </c>
      <c r="J289" s="36" t="n">
        <v>8</v>
      </c>
      <c r="K289" s="74">
        <f>IFERROR(I289/J289,0)</f>
        <v/>
      </c>
      <c r="L289" s="36" t="n">
        <v>8</v>
      </c>
      <c r="M289" s="36" t="n">
        <v>3312</v>
      </c>
      <c r="N289" s="36" t="n">
        <v>0</v>
      </c>
      <c r="O289" s="35" t="inlineStr">
        <is>
          <t>Image_Carrousel</t>
        </is>
      </c>
    </row>
    <row r="290" ht="13.5" customHeight="1" s="109">
      <c r="A290" s="72" t="inlineStr">
        <is>
          <t>https://www.instagram.com/p/DVbav9iisKd/</t>
        </is>
      </c>
      <c r="B290" s="72" t="inlineStr">
        <is>
          <t>International</t>
        </is>
      </c>
      <c r="C290" s="72" t="inlineStr">
        <is>
          <t>Conflits</t>
        </is>
      </c>
      <c r="D290" s="73" t="n">
        <v>40</v>
      </c>
      <c r="E290" s="73" t="inlineStr">
        <is>
          <t>N</t>
        </is>
      </c>
      <c r="F290" s="72" t="inlineStr">
        <is>
          <t>Média public, rapporte faits et critiques envers autorités.</t>
        </is>
      </c>
      <c r="G290" s="73" t="inlineStr">
        <is>
          <t>Non</t>
        </is>
      </c>
      <c r="H290" s="72" t="n"/>
      <c r="I290" s="73" t="n">
        <v>0</v>
      </c>
      <c r="J290" s="73" t="n">
        <v>4</v>
      </c>
      <c r="K290" s="74">
        <f>IFERROR(I290/J290,0)</f>
        <v/>
      </c>
      <c r="L290" s="73" t="n">
        <v>70</v>
      </c>
      <c r="M290" s="73" t="n">
        <v>2148</v>
      </c>
      <c r="N290" s="73" t="n">
        <v>0</v>
      </c>
      <c r="O290" s="72" t="inlineStr">
        <is>
          <t>Image_Carrousel</t>
        </is>
      </c>
    </row>
    <row r="291" ht="13.5" customHeight="1" s="109">
      <c r="A291" s="35" t="inlineStr">
        <is>
          <t>https://www.instagram.com/p/DVZC9BZD0In/</t>
        </is>
      </c>
      <c r="B291" s="35" t="inlineStr">
        <is>
          <t>Sante</t>
        </is>
      </c>
      <c r="C291" s="35" t="inlineStr">
        <is>
          <t>Sante publique</t>
        </is>
      </c>
      <c r="D291" s="36" t="n">
        <v>45</v>
      </c>
      <c r="E291" s="36" t="inlineStr">
        <is>
          <t>N</t>
        </is>
      </c>
      <c r="F291" s="35" t="inlineStr">
        <is>
          <t>Média public couvrant positivement une initiative sociale de soutien aux jeunes mères.</t>
        </is>
      </c>
      <c r="G291" s="36" t="inlineStr">
        <is>
          <t>Non</t>
        </is>
      </c>
      <c r="H291" s="35" t="inlineStr">
        <is>
          <t>Aucune critique du média.</t>
        </is>
      </c>
      <c r="I291" s="36" t="n">
        <v>0</v>
      </c>
      <c r="J291" s="36" t="n">
        <v>8</v>
      </c>
      <c r="K291" s="74">
        <f>IFERROR(I291/J291,0)</f>
        <v/>
      </c>
      <c r="L291" s="36" t="n">
        <v>66</v>
      </c>
      <c r="M291" s="36" t="n">
        <v>6664</v>
      </c>
      <c r="N291" s="36" t="n">
        <v>160317</v>
      </c>
      <c r="O291" s="35" t="inlineStr">
        <is>
          <t>Video</t>
        </is>
      </c>
    </row>
    <row r="292" ht="13.5" customHeight="1" s="109">
      <c r="A292" s="72" t="inlineStr">
        <is>
          <t>https://www.instagram.com/p/DVXwhlGjYJ2/</t>
        </is>
      </c>
      <c r="B292" s="72" t="inlineStr">
        <is>
          <t>Culture &amp; Loisirs</t>
        </is>
      </c>
      <c r="C292" s="72" t="inlineStr">
        <is>
          <t>Arts</t>
        </is>
      </c>
      <c r="D292" s="73" t="n">
        <v>50</v>
      </c>
      <c r="E292" s="73" t="inlineStr">
        <is>
          <t>N</t>
        </is>
      </c>
      <c r="F292" s="72" t="inlineStr">
        <is>
          <t>RTS publie un reportage factuel et positif sur un événement culturel.</t>
        </is>
      </c>
      <c r="G292" s="73" t="inlineStr">
        <is>
          <t>Non</t>
        </is>
      </c>
      <c r="H292" s="72" t="n"/>
      <c r="I292" s="73" t="n">
        <v>0</v>
      </c>
      <c r="J292" s="73" t="n">
        <v>2</v>
      </c>
      <c r="K292" s="74">
        <f>IFERROR(I292/J292,0)</f>
        <v/>
      </c>
      <c r="L292" s="73" t="n">
        <v>2</v>
      </c>
      <c r="M292" s="73" t="n">
        <v>1465</v>
      </c>
      <c r="N292" s="73" t="n">
        <v>0</v>
      </c>
      <c r="O292" s="72" t="inlineStr">
        <is>
          <t>Image_Carrousel</t>
        </is>
      </c>
    </row>
    <row r="293" ht="13.5" customHeight="1" s="109">
      <c r="A293" s="35" t="inlineStr">
        <is>
          <t>https://www.instagram.com/p/DVY0nHmjWRO/</t>
        </is>
      </c>
      <c r="B293" s="35" t="inlineStr">
        <is>
          <t>Securite &amp; Justice</t>
        </is>
      </c>
      <c r="C293" s="35" t="inlineStr">
        <is>
          <t>Justice</t>
        </is>
      </c>
      <c r="D293" s="36" t="n">
        <v>50</v>
      </c>
      <c r="E293" s="36" t="inlineStr">
        <is>
          <t>N</t>
        </is>
      </c>
      <c r="F293" s="35" t="inlineStr">
        <is>
          <t>Présentation factuelle et équilibrée d'une décision parlementaire et des positions politiques.</t>
        </is>
      </c>
      <c r="G293" s="36" t="inlineStr">
        <is>
          <t>Non</t>
        </is>
      </c>
      <c r="H293" s="35" t="n"/>
      <c r="I293" s="36" t="n">
        <v>0</v>
      </c>
      <c r="J293" s="36" t="n">
        <v>8</v>
      </c>
      <c r="K293" s="74">
        <f>IFERROR(I293/J293,0)</f>
        <v/>
      </c>
      <c r="L293" s="36" t="n">
        <v>61</v>
      </c>
      <c r="M293" s="36" t="n">
        <v>12022</v>
      </c>
      <c r="N293" s="36" t="n">
        <v>0</v>
      </c>
      <c r="O293" s="35" t="inlineStr">
        <is>
          <t>Image_Carrousel</t>
        </is>
      </c>
    </row>
    <row r="294" ht="13.5" customHeight="1" s="109">
      <c r="A294" s="72" t="inlineStr">
        <is>
          <t>https://www.instagram.com/p/DVY8GtRAk4s/</t>
        </is>
      </c>
      <c r="B294" s="72" t="inlineStr">
        <is>
          <t>International</t>
        </is>
      </c>
      <c r="C294" s="72" t="inlineStr">
        <is>
          <t>Geopolitique</t>
        </is>
      </c>
      <c r="D294" s="73" t="n">
        <v>50</v>
      </c>
      <c r="E294" s="73" t="inlineStr">
        <is>
          <t>N</t>
        </is>
      </c>
      <c r="F294" s="72" t="inlineStr">
        <is>
          <t>Reporting factuel et neutre, citant directement le président Macron.</t>
        </is>
      </c>
      <c r="G294" s="73" t="inlineStr">
        <is>
          <t>Non</t>
        </is>
      </c>
      <c r="H294" s="72" t="n"/>
      <c r="I294" s="73" t="n">
        <v>0</v>
      </c>
      <c r="J294" s="73" t="n">
        <v>8</v>
      </c>
      <c r="K294" s="74">
        <f>IFERROR(I294/J294,0)</f>
        <v/>
      </c>
      <c r="L294" s="73" t="n">
        <v>248</v>
      </c>
      <c r="M294" s="73" t="n">
        <v>4947</v>
      </c>
      <c r="N294" s="73" t="n">
        <v>122000</v>
      </c>
      <c r="O294" s="72" t="inlineStr">
        <is>
          <t>Video</t>
        </is>
      </c>
    </row>
    <row r="295" ht="13.5" customHeight="1" s="109">
      <c r="A295" s="35" t="inlineStr">
        <is>
          <t>https://www.instagram.com/p/DVZJxksk580/</t>
        </is>
      </c>
      <c r="B295" s="35" t="inlineStr">
        <is>
          <t>Politique &amp; Institutions</t>
        </is>
      </c>
      <c r="C295" s="35" t="inlineStr">
        <is>
          <t>Autorites</t>
        </is>
      </c>
      <c r="D295" s="36" t="n">
        <v>50</v>
      </c>
      <c r="E295" s="36" t="inlineStr">
        <is>
          <t>N</t>
        </is>
      </c>
      <c r="F295" s="35" t="inlineStr">
        <is>
          <t>Reportage factuel sur un projet d'infrastructure publique, sans ton partisan.</t>
        </is>
      </c>
      <c r="G295" s="36" t="inlineStr">
        <is>
          <t>Non</t>
        </is>
      </c>
      <c r="H295" s="35" t="inlineStr">
        <is>
          <t>Aucune critique du media trouvée.</t>
        </is>
      </c>
      <c r="I295" s="36" t="n">
        <v>0</v>
      </c>
      <c r="J295" s="36" t="n">
        <v>2</v>
      </c>
      <c r="K295" s="74">
        <f>IFERROR(I295/J295,0)</f>
        <v/>
      </c>
      <c r="L295" s="36" t="n">
        <v>59</v>
      </c>
      <c r="M295" s="36" t="n">
        <v>8621</v>
      </c>
      <c r="N295" s="36" t="n">
        <v>0</v>
      </c>
      <c r="O295" s="35" t="inlineStr">
        <is>
          <t>Image_Carrousel</t>
        </is>
      </c>
    </row>
    <row r="296" ht="13.5" customHeight="1" s="109">
      <c r="A296" s="72" t="inlineStr">
        <is>
          <t>https://www.instagram.com/p/DVbgXsIjJXw/</t>
        </is>
      </c>
      <c r="B296" s="72" t="inlineStr">
        <is>
          <t>Societe &amp; Droits</t>
        </is>
      </c>
      <c r="C296" s="72" t="inlineStr">
        <is>
          <t>Faits de societe</t>
        </is>
      </c>
      <c r="D296" s="73" t="n">
        <v>40</v>
      </c>
      <c r="E296" s="73" t="inlineStr">
        <is>
          <t>G</t>
        </is>
      </c>
      <c r="F296" s="72" t="inlineStr">
        <is>
          <t>RTS est un média de service public, neutre mais avec une portée sociale pour la jeunesse.</t>
        </is>
      </c>
      <c r="G296" s="73" t="inlineStr">
        <is>
          <t>Non</t>
        </is>
      </c>
      <c r="H296" s="72" t="inlineStr">
        <is>
          <t>Aucune critique directe du média par les commentateurs.</t>
        </is>
      </c>
      <c r="I296" s="73" t="n">
        <v>0</v>
      </c>
      <c r="J296" s="73" t="n">
        <v>3</v>
      </c>
      <c r="K296" s="74">
        <f>IFERROR(I296/J296,0)</f>
        <v/>
      </c>
      <c r="L296" s="73" t="n">
        <v>40</v>
      </c>
      <c r="M296" s="73" t="n">
        <v>3632</v>
      </c>
      <c r="N296" s="73" t="n">
        <v>0</v>
      </c>
      <c r="O296" s="72" t="inlineStr">
        <is>
          <t>Image_Carrousel</t>
        </is>
      </c>
    </row>
    <row r="297" ht="13.5" customHeight="1" s="109">
      <c r="A297" s="35" t="inlineStr">
        <is>
          <t>https://www.instagram.com/p/DVV06iwDabn/</t>
        </is>
      </c>
      <c r="B297" s="35" t="inlineStr">
        <is>
          <t>Economie &amp; Travail</t>
        </is>
      </c>
      <c r="C297" s="35" t="inlineStr">
        <is>
          <t>Consommation</t>
        </is>
      </c>
      <c r="D297" s="36" t="n">
        <v>50</v>
      </c>
      <c r="E297" s="36" t="inlineStr">
        <is>
          <t>N</t>
        </is>
      </c>
      <c r="F297" s="35" t="inlineStr">
        <is>
          <t>Approche équilibrée, questionnant marketing et santé des eaux protéinées.</t>
        </is>
      </c>
      <c r="G297" s="36" t="inlineStr">
        <is>
          <t>Oui</t>
        </is>
      </c>
      <c r="H297" s="35" t="inlineStr">
        <is>
          <t>Sarcasme sur le choix/nouveauté du sujet par RTS.</t>
        </is>
      </c>
      <c r="I297" s="36" t="n">
        <v>1</v>
      </c>
      <c r="J297" s="36" t="n">
        <v>12</v>
      </c>
      <c r="K297" s="74">
        <f>IFERROR(I297/J297,0)</f>
        <v/>
      </c>
      <c r="L297" s="36" t="n">
        <v>23</v>
      </c>
      <c r="M297" s="36" t="n">
        <v>1014</v>
      </c>
      <c r="N297" s="36" t="n">
        <v>0</v>
      </c>
      <c r="O297" s="35" t="inlineStr">
        <is>
          <t>Image_Carrousel</t>
        </is>
      </c>
    </row>
    <row r="298" ht="13.5" customHeight="1" s="109">
      <c r="A298" s="72" t="inlineStr">
        <is>
          <t>https://www.instagram.com/p/DVWQlZYDKeZ/</t>
        </is>
      </c>
      <c r="B298" s="72" t="inlineStr">
        <is>
          <t>Politique &amp; Institutions</t>
        </is>
      </c>
      <c r="C298" s="72" t="inlineStr">
        <is>
          <t>Vie politique CH</t>
        </is>
      </c>
      <c r="D298" s="73" t="n">
        <v>50</v>
      </c>
      <c r="E298" s="73" t="inlineStr">
        <is>
          <t>N</t>
        </is>
      </c>
      <c r="F298" s="72" t="inlineStr">
        <is>
          <t>Média public suisse, vise la neutralité journalistique factuelle.</t>
        </is>
      </c>
      <c r="G298" s="73" t="inlineStr">
        <is>
          <t>Non</t>
        </is>
      </c>
      <c r="H298" s="72" t="n"/>
      <c r="I298" s="73" t="n">
        <v>0</v>
      </c>
      <c r="J298" s="73" t="n">
        <v>6</v>
      </c>
      <c r="K298" s="74">
        <f>IFERROR(I298/J298,0)</f>
        <v/>
      </c>
      <c r="L298" s="73" t="n">
        <v>6</v>
      </c>
      <c r="M298" s="73" t="n">
        <v>739</v>
      </c>
      <c r="N298" s="73" t="n">
        <v>19383</v>
      </c>
      <c r="O298" s="72" t="inlineStr">
        <is>
          <t>Video</t>
        </is>
      </c>
    </row>
    <row r="299" ht="13.5" customHeight="1" s="109">
      <c r="A299" s="35" t="inlineStr">
        <is>
          <t>https://www.instagram.com/p/DVbnrizDT9E/</t>
        </is>
      </c>
      <c r="B299" s="35" t="inlineStr">
        <is>
          <t>Sante</t>
        </is>
      </c>
      <c r="C299" s="35" t="inlineStr">
        <is>
          <t>Sante publique</t>
        </is>
      </c>
      <c r="D299" s="36" t="n">
        <v>40</v>
      </c>
      <c r="E299" s="36" t="inlineStr">
        <is>
          <t>G</t>
        </is>
      </c>
      <c r="F299" s="35" t="inlineStr">
        <is>
          <t>Média public met en avant étude validant crèches pour santé bébés.</t>
        </is>
      </c>
      <c r="G299" s="36" t="inlineStr">
        <is>
          <t>Non</t>
        </is>
      </c>
      <c r="H299" s="35" t="n"/>
      <c r="I299" s="36" t="n">
        <v>0</v>
      </c>
      <c r="J299" s="36" t="n">
        <v>5</v>
      </c>
      <c r="K299" s="74">
        <f>IFERROR(I299/J299,0)</f>
        <v/>
      </c>
      <c r="L299" s="36" t="n">
        <v>26</v>
      </c>
      <c r="M299" s="36" t="n">
        <v>2168</v>
      </c>
      <c r="N299" s="36" t="n">
        <v>0</v>
      </c>
      <c r="O299" s="35" t="inlineStr">
        <is>
          <t>Image_Carrousel</t>
        </is>
      </c>
    </row>
    <row r="300" ht="13.5" customHeight="1" s="109">
      <c r="A300" s="72" t="inlineStr">
        <is>
          <t>https://www.instagram.com/p/DVUURHXllCC/</t>
        </is>
      </c>
      <c r="B300" s="72" t="inlineStr">
        <is>
          <t>International</t>
        </is>
      </c>
      <c r="C300" s="72" t="inlineStr">
        <is>
          <t>Conflits</t>
        </is>
      </c>
      <c r="D300" s="73" t="n">
        <v>50</v>
      </c>
      <c r="E300" s="73" t="inlineStr">
        <is>
          <t>N</t>
        </is>
      </c>
      <c r="F300" s="72" t="inlineStr">
        <is>
          <t>Rapporte des affirmations non confirmées de Trump et des frappes US avec nuance.</t>
        </is>
      </c>
      <c r="G300" s="73" t="inlineStr">
        <is>
          <t>Non</t>
        </is>
      </c>
      <c r="H300" s="72" t="n"/>
      <c r="I300" s="73" t="n">
        <v>0</v>
      </c>
      <c r="J300" s="73" t="n">
        <v>4</v>
      </c>
      <c r="K300" s="74">
        <f>IFERROR(I300/J300,0)</f>
        <v/>
      </c>
      <c r="L300" s="73" t="n">
        <v>443</v>
      </c>
      <c r="M300" s="73" t="n">
        <v>8385</v>
      </c>
      <c r="N300" s="73" t="n">
        <v>0</v>
      </c>
      <c r="O300" s="72" t="inlineStr">
        <is>
          <t>Image_Carrousel</t>
        </is>
      </c>
    </row>
    <row r="301" ht="13.5" customHeight="1" s="109">
      <c r="A301" s="35" t="inlineStr">
        <is>
          <t>https://www.instagram.com/p/DVYgB3rDYXl/</t>
        </is>
      </c>
      <c r="B301" s="35" t="inlineStr">
        <is>
          <t>Economie &amp; Travail</t>
        </is>
      </c>
      <c r="C301" s="35" t="inlineStr">
        <is>
          <t>Consommation</t>
        </is>
      </c>
      <c r="D301" s="36" t="n">
        <v>50</v>
      </c>
      <c r="E301" s="36" t="inlineStr">
        <is>
          <t>N</t>
        </is>
      </c>
      <c r="F301" s="35" t="inlineStr">
        <is>
          <t>Rapport factuel de l'OFL sur le taux hypothécaire de référence en Suisse.</t>
        </is>
      </c>
      <c r="G301" s="36" t="inlineStr">
        <is>
          <t>Oui</t>
        </is>
      </c>
      <c r="H301" s="35" t="inlineStr">
        <is>
          <t>Le média omet l'impact de l'inflation et l'optimisation fiscale sur l'épargne.</t>
        </is>
      </c>
      <c r="I301" s="36" t="n">
        <v>1</v>
      </c>
      <c r="J301" s="36" t="n">
        <v>4</v>
      </c>
      <c r="K301" s="74">
        <f>IFERROR(I301/J301,0)</f>
        <v/>
      </c>
      <c r="L301" s="36" t="n">
        <v>22</v>
      </c>
      <c r="M301" s="36" t="n">
        <v>2221</v>
      </c>
      <c r="N301" s="36" t="n">
        <v>0</v>
      </c>
      <c r="O301" s="35" t="inlineStr">
        <is>
          <t>Image_Carrousel</t>
        </is>
      </c>
    </row>
    <row r="302" ht="13.5" customHeight="1" s="109">
      <c r="A302" s="72" t="inlineStr">
        <is>
          <t>https://www.instagram.com/p/DVVuFWQAedK/</t>
        </is>
      </c>
      <c r="B302" s="72" t="inlineStr">
        <is>
          <t>Environnement &amp; Nature</t>
        </is>
      </c>
      <c r="C302" s="72" t="inlineStr">
        <is>
          <t>Climat / Ecologie</t>
        </is>
      </c>
      <c r="D302" s="73" t="n">
        <v>40</v>
      </c>
      <c r="E302" s="73" t="inlineStr">
        <is>
          <t>N</t>
        </is>
      </c>
      <c r="F302" s="72" t="inlineStr">
        <is>
          <t>Média public suisse, factuel, légèrement centre-gauche.</t>
        </is>
      </c>
      <c r="G302" s="73" t="inlineStr">
        <is>
          <t>Oui</t>
        </is>
      </c>
      <c r="H302" s="72" t="inlineStr">
        <is>
          <t>Questionne le choix des arbres et l'expression 'les plus beaux'.</t>
        </is>
      </c>
      <c r="I302" s="73" t="n">
        <v>1</v>
      </c>
      <c r="J302" s="73" t="n">
        <v>8</v>
      </c>
      <c r="K302" s="74">
        <f>IFERROR(I302/J302,0)</f>
        <v/>
      </c>
      <c r="L302" s="73" t="n">
        <v>64</v>
      </c>
      <c r="M302" s="73" t="n">
        <v>6088</v>
      </c>
      <c r="N302" s="73" t="n">
        <v>0</v>
      </c>
      <c r="O302" s="72" t="inlineStr">
        <is>
          <t>Image_Carrousel</t>
        </is>
      </c>
    </row>
    <row r="303" ht="13.5" customHeight="1" s="109">
      <c r="A303" s="35" t="inlineStr">
        <is>
          <t>https://www.instagram.com/p/DVbnw7jgS1U/</t>
        </is>
      </c>
      <c r="B303" s="35" t="inlineStr">
        <is>
          <t>Economie &amp; Travail</t>
        </is>
      </c>
      <c r="C303" s="35" t="inlineStr">
        <is>
          <t>Consommation</t>
        </is>
      </c>
      <c r="D303" s="36" t="n">
        <v>45</v>
      </c>
      <c r="E303" s="36" t="inlineStr">
        <is>
          <t>N</t>
        </is>
      </c>
      <c r="F303" s="35" t="inlineStr">
        <is>
          <t>Média public, valorise patrimoine culinaire suisse sans angle politique marqué.</t>
        </is>
      </c>
      <c r="G303" s="36" t="inlineStr">
        <is>
          <t>Non</t>
        </is>
      </c>
      <c r="H303" s="35" t="inlineStr">
        <is>
          <t>Aucun commentaire ne critique explicitement le média.</t>
        </is>
      </c>
      <c r="I303" s="36" t="n">
        <v>0</v>
      </c>
      <c r="J303" s="36" t="n">
        <v>9</v>
      </c>
      <c r="K303" s="74">
        <f>IFERROR(I303/J303,0)</f>
        <v/>
      </c>
      <c r="L303" s="36" t="n">
        <v>11</v>
      </c>
      <c r="M303" s="36" t="n">
        <v>1845</v>
      </c>
      <c r="N303" s="36" t="n">
        <v>46556</v>
      </c>
      <c r="O303" s="35" t="inlineStr">
        <is>
          <t>Video</t>
        </is>
      </c>
    </row>
    <row r="304" ht="13.5" customHeight="1" s="109">
      <c r="A304" s="72" t="inlineStr">
        <is>
          <t>https://www.instagram.com/p/DVTOQcADKz1/</t>
        </is>
      </c>
      <c r="B304" s="72" t="inlineStr">
        <is>
          <t>Culture &amp; Loisirs</t>
        </is>
      </c>
      <c r="C304" s="72" t="inlineStr">
        <is>
          <t>Sport</t>
        </is>
      </c>
      <c r="D304" s="73" t="n">
        <v>45</v>
      </c>
      <c r="E304" s="73" t="inlineStr">
        <is>
          <t>N</t>
        </is>
      </c>
      <c r="F304" s="72" t="inlineStr">
        <is>
          <t>RTS, service public, reportage sportif factuel sans prise de position politique.</t>
        </is>
      </c>
      <c r="G304" s="73" t="inlineStr">
        <is>
          <t>Non</t>
        </is>
      </c>
      <c r="H304" s="72" t="n"/>
      <c r="I304" s="73" t="n">
        <v>0</v>
      </c>
      <c r="J304" s="73" t="n">
        <v>10</v>
      </c>
      <c r="K304" s="74">
        <f>IFERROR(I304/J304,0)</f>
        <v/>
      </c>
      <c r="L304" s="73" t="n">
        <v>46</v>
      </c>
      <c r="M304" s="73" t="n">
        <v>9818</v>
      </c>
      <c r="N304" s="73" t="n">
        <v>0</v>
      </c>
      <c r="O304" s="72" t="inlineStr">
        <is>
          <t>Image_Carrousel</t>
        </is>
      </c>
    </row>
    <row r="305" ht="13.5" customHeight="1" s="109">
      <c r="A305" s="35" t="inlineStr">
        <is>
          <t>https://www.instagram.com/p/DVXpozVjWrE/</t>
        </is>
      </c>
      <c r="B305" s="35" t="inlineStr">
        <is>
          <t>Environnement &amp; Nature</t>
        </is>
      </c>
      <c r="C305" s="35" t="inlineStr">
        <is>
          <t>Climat / Ecologie</t>
        </is>
      </c>
      <c r="D305" s="36" t="n">
        <v>45</v>
      </c>
      <c r="E305" s="36" t="inlineStr">
        <is>
          <t>N</t>
        </is>
      </c>
      <c r="F305" s="35" t="inlineStr">
        <is>
          <t>RTS est un média de service public, généralement neutre et factuel.</t>
        </is>
      </c>
      <c r="G305" s="36" t="inlineStr">
        <is>
          <t>Non</t>
        </is>
      </c>
      <c r="H305" s="35" t="n"/>
      <c r="I305" s="36" t="n">
        <v>0</v>
      </c>
      <c r="J305" s="36" t="n">
        <v>5</v>
      </c>
      <c r="K305" s="74">
        <f>IFERROR(I305/J305,0)</f>
        <v/>
      </c>
      <c r="L305" s="36" t="n">
        <v>29</v>
      </c>
      <c r="M305" s="36" t="n">
        <v>1282</v>
      </c>
      <c r="N305" s="36" t="n">
        <v>0</v>
      </c>
      <c r="O305" s="35" t="inlineStr">
        <is>
          <t>Image_Carrousel</t>
        </is>
      </c>
    </row>
    <row r="306" ht="13.5" customHeight="1" s="109">
      <c r="A306" s="72" t="inlineStr">
        <is>
          <t>https://www.instagram.com/p/DVVjxzbjEM8/</t>
        </is>
      </c>
      <c r="B306" s="72" t="inlineStr">
        <is>
          <t>Environnement &amp; Nature</t>
        </is>
      </c>
      <c r="C306" s="72" t="inlineStr">
        <is>
          <t>Climat / Ecologie</t>
        </is>
      </c>
      <c r="D306" s="73" t="n">
        <v>40</v>
      </c>
      <c r="E306" s="73" t="inlineStr">
        <is>
          <t>G</t>
        </is>
      </c>
      <c r="F306" s="72" t="inlineStr">
        <is>
          <t>Média public, met en avant l'écologie et l'action environnementale.</t>
        </is>
      </c>
      <c r="G306" s="73" t="inlineStr">
        <is>
          <t>Oui</t>
        </is>
      </c>
      <c r="H306" s="72" t="inlineStr">
        <is>
          <t>Reproche biais éditorial et choix de sujets du média.</t>
        </is>
      </c>
      <c r="I306" s="73" t="n">
        <v>1</v>
      </c>
      <c r="J306" s="73" t="n">
        <v>8</v>
      </c>
      <c r="K306" s="74">
        <f>IFERROR(I306/J306,0)</f>
        <v/>
      </c>
      <c r="L306" s="73" t="n">
        <v>11</v>
      </c>
      <c r="M306" s="73" t="n">
        <v>10320</v>
      </c>
      <c r="N306" s="73" t="n">
        <v>0</v>
      </c>
      <c r="O306" s="72" t="inlineStr">
        <is>
          <t>Image_Carrousel</t>
        </is>
      </c>
    </row>
    <row r="307" ht="13.5" customHeight="1" s="109">
      <c r="A307" s="35" t="inlineStr">
        <is>
          <t>https://www.instagram.com/p/DVT5SB5jTWG/</t>
        </is>
      </c>
      <c r="B307" s="35" t="inlineStr">
        <is>
          <t>Environnement &amp; Nature</t>
        </is>
      </c>
      <c r="C307" s="35" t="inlineStr">
        <is>
          <t>Climat / Ecologie</t>
        </is>
      </c>
      <c r="D307" s="36" t="n">
        <v>35</v>
      </c>
      <c r="E307" s="36" t="inlineStr">
        <is>
          <t>G</t>
        </is>
      </c>
      <c r="F307" s="35" t="inlineStr">
        <is>
          <t>Mise en avant d'une loi progressiste pour la protection de l'environnement et la biodiversité.</t>
        </is>
      </c>
      <c r="G307" s="36" t="inlineStr">
        <is>
          <t>Non</t>
        </is>
      </c>
      <c r="H307" s="35" t="n"/>
      <c r="I307" s="36" t="n">
        <v>0</v>
      </c>
      <c r="J307" s="36" t="n">
        <v>7</v>
      </c>
      <c r="K307" s="74">
        <f>IFERROR(I307/J307,0)</f>
        <v/>
      </c>
      <c r="L307" s="36" t="n">
        <v>36</v>
      </c>
      <c r="M307" s="36" t="n">
        <v>6148</v>
      </c>
      <c r="N307" s="36" t="n">
        <v>0</v>
      </c>
      <c r="O307" s="35" t="inlineStr">
        <is>
          <t>Image_Carrousel</t>
        </is>
      </c>
    </row>
    <row r="308" ht="13.5" customHeight="1" s="109">
      <c r="A308" s="72" t="inlineStr">
        <is>
          <t>https://www.instagram.com/p/DVVSnkTjUfv/</t>
        </is>
      </c>
      <c r="B308" s="72" t="inlineStr">
        <is>
          <t>Societe &amp; Droits</t>
        </is>
      </c>
      <c r="C308" s="72" t="inlineStr">
        <is>
          <t>Immigration</t>
        </is>
      </c>
      <c r="D308" s="73" t="n">
        <v>40</v>
      </c>
      <c r="E308" s="73" t="inlineStr">
        <is>
          <t>N</t>
        </is>
      </c>
      <c r="F308" s="72" t="inlineStr">
        <is>
          <t>Fact-check rigoureux contre désinformation d'extrême droite, rôle de service public.</t>
        </is>
      </c>
      <c r="G308" s="73" t="inlineStr">
        <is>
          <t>Non</t>
        </is>
      </c>
      <c r="H308" s="72" t="n"/>
      <c r="I308" s="73" t="n">
        <v>0</v>
      </c>
      <c r="J308" s="73" t="n">
        <v>8</v>
      </c>
      <c r="K308" s="74">
        <f>IFERROR(I308/J308,0)</f>
        <v/>
      </c>
      <c r="L308" s="73" t="n">
        <v>180</v>
      </c>
      <c r="M308" s="73" t="n">
        <v>6534</v>
      </c>
      <c r="N308" s="73" t="n">
        <v>78895</v>
      </c>
      <c r="O308" s="72" t="inlineStr">
        <is>
          <t>Video</t>
        </is>
      </c>
    </row>
    <row r="309" ht="13.5" customHeight="1" s="109">
      <c r="A309" s="35" t="inlineStr">
        <is>
          <t>https://www.instagram.com/p/DVTQLDtEkd_/</t>
        </is>
      </c>
      <c r="B309" s="35" t="inlineStr">
        <is>
          <t>International</t>
        </is>
      </c>
      <c r="C309" s="35" t="inlineStr">
        <is>
          <t>Conflits</t>
        </is>
      </c>
      <c r="D309" s="36" t="n">
        <v>45</v>
      </c>
      <c r="E309" s="36" t="inlineStr">
        <is>
          <t>N</t>
        </is>
      </c>
      <c r="F309" s="35" t="inlineStr">
        <is>
          <t>Rapporte les accusations d'empoisonnement politique d'un opposant par un État.</t>
        </is>
      </c>
      <c r="G309" s="36" t="inlineStr">
        <is>
          <t>Oui</t>
        </is>
      </c>
      <c r="H309" s="35" t="inlineStr">
        <is>
          <t>Omission d'informations, présente Navalny de manière biaisée comme martyr.</t>
        </is>
      </c>
      <c r="I309" s="36" t="n">
        <v>1</v>
      </c>
      <c r="J309" s="36" t="n">
        <v>5</v>
      </c>
      <c r="K309" s="74">
        <f>IFERROR(I309/J309,0)</f>
        <v/>
      </c>
      <c r="L309" s="36" t="n">
        <v>11</v>
      </c>
      <c r="M309" s="36" t="n">
        <v>1578</v>
      </c>
      <c r="N309" s="36" t="n">
        <v>0</v>
      </c>
      <c r="O309" s="35" t="inlineStr">
        <is>
          <t>Image_Carrousel</t>
        </is>
      </c>
    </row>
    <row r="310" ht="13.5" customHeight="1" s="109">
      <c r="A310" s="72" t="inlineStr">
        <is>
          <t>https://www.instagram.com/p/DVV84uFjXtq/</t>
        </is>
      </c>
      <c r="B310" s="72" t="inlineStr">
        <is>
          <t>International</t>
        </is>
      </c>
      <c r="C310" s="72" t="inlineStr">
        <is>
          <t>Conflits</t>
        </is>
      </c>
      <c r="D310" s="73" t="n">
        <v>45</v>
      </c>
      <c r="E310" s="73" t="inlineStr">
        <is>
          <t>N</t>
        </is>
      </c>
      <c r="F310" s="72" t="inlineStr">
        <is>
          <t>Média public, rapporte faits DFAE et impact national, ton informatif neutre.</t>
        </is>
      </c>
      <c r="G310" s="73" t="inlineStr">
        <is>
          <t>Oui</t>
        </is>
      </c>
      <c r="H310" s="72" t="inlineStr">
        <is>
          <t>Focus national du media négligeant les victimes civiles étrangères et l'angle humanitaire.</t>
        </is>
      </c>
      <c r="I310" s="73" t="n">
        <v>1</v>
      </c>
      <c r="J310" s="73" t="n">
        <v>5</v>
      </c>
      <c r="K310" s="74">
        <f>IFERROR(I310/J310,0)</f>
        <v/>
      </c>
      <c r="L310" s="73" t="n">
        <v>22</v>
      </c>
      <c r="M310" s="73" t="n">
        <v>2703</v>
      </c>
      <c r="N310" s="73" t="n">
        <v>0</v>
      </c>
      <c r="O310" s="72" t="inlineStr">
        <is>
          <t>Image_Carrousel</t>
        </is>
      </c>
    </row>
    <row r="311" ht="13.5" customHeight="1" s="109">
      <c r="A311" s="35" t="inlineStr">
        <is>
          <t>https://www.instagram.com/p/DVUSePdjF0y/</t>
        </is>
      </c>
      <c r="B311" s="35" t="inlineStr">
        <is>
          <t>International</t>
        </is>
      </c>
      <c r="C311" s="35" t="inlineStr">
        <is>
          <t>Conflits</t>
        </is>
      </c>
      <c r="D311" s="36" t="n">
        <v>45</v>
      </c>
      <c r="E311" s="36" t="inlineStr">
        <is>
          <t>N</t>
        </is>
      </c>
      <c r="F311" s="35" t="inlineStr">
        <is>
          <t>Média de service public suisse, réputé pour sa neutralité et son approche factuelle.</t>
        </is>
      </c>
      <c r="G311" s="36" t="inlineStr">
        <is>
          <t>Non</t>
        </is>
      </c>
      <c r="H311" s="35" t="n"/>
      <c r="I311" s="36" t="n">
        <v>0</v>
      </c>
      <c r="J311" s="36" t="n">
        <v>6</v>
      </c>
      <c r="K311" s="74">
        <f>IFERROR(I311/J311,0)</f>
        <v/>
      </c>
      <c r="L311" s="36" t="n">
        <v>253</v>
      </c>
      <c r="M311" s="36" t="n">
        <v>7821</v>
      </c>
      <c r="N311" s="36" t="n">
        <v>0</v>
      </c>
      <c r="O311" s="35" t="inlineStr">
        <is>
          <t>Image_Carrousel</t>
        </is>
      </c>
    </row>
    <row r="312" ht="13.5" customHeight="1" s="109">
      <c r="A312" s="72" t="inlineStr">
        <is>
          <t>https://www.instagram.com/p/DVTXEGVDawW/</t>
        </is>
      </c>
      <c r="B312" s="72" t="inlineStr">
        <is>
          <t>Sante</t>
        </is>
      </c>
      <c r="C312" s="72" t="inlineStr">
        <is>
          <t>Sante publique</t>
        </is>
      </c>
      <c r="D312" s="73" t="n">
        <v>50</v>
      </c>
      <c r="E312" s="73" t="inlineStr">
        <is>
          <t>N</t>
        </is>
      </c>
      <c r="F312" s="72" t="inlineStr">
        <is>
          <t>Média de service public suisse, vise la neutralité dans ses reportages factuels.</t>
        </is>
      </c>
      <c r="G312" s="73" t="inlineStr">
        <is>
          <t>Oui</t>
        </is>
      </c>
      <c r="H312" s="72" t="inlineStr">
        <is>
          <t>Critique du cadrage économique et manque de contexte/objectivité de l'article.</t>
        </is>
      </c>
      <c r="I312" s="73" t="n">
        <v>2</v>
      </c>
      <c r="J312" s="73" t="n">
        <v>6</v>
      </c>
      <c r="K312" s="74">
        <f>IFERROR(I312/J312,0)</f>
        <v/>
      </c>
      <c r="L312" s="73" t="n">
        <v>48</v>
      </c>
      <c r="M312" s="73" t="n">
        <v>2983</v>
      </c>
      <c r="N312" s="73" t="n">
        <v>0</v>
      </c>
      <c r="O312" s="72" t="inlineStr">
        <is>
          <t>Image_Carrousel</t>
        </is>
      </c>
    </row>
    <row r="313" ht="13.5" customHeight="1" s="109">
      <c r="A313" s="35" t="inlineStr">
        <is>
          <t>https://www.instagram.com/p/DVTybT8lH4_/</t>
        </is>
      </c>
      <c r="B313" s="35" t="inlineStr">
        <is>
          <t>Sante</t>
        </is>
      </c>
      <c r="C313" s="35" t="inlineStr">
        <is>
          <t>Sante publique</t>
        </is>
      </c>
      <c r="D313" s="36" t="n">
        <v>55</v>
      </c>
      <c r="E313" s="36" t="inlineStr">
        <is>
          <t>N</t>
        </is>
      </c>
      <c r="F313" s="35" t="inlineStr">
        <is>
          <t>RTS informe factuellement sur une avancée scientifique en santé, ton neutre et objectif.</t>
        </is>
      </c>
      <c r="G313" s="36" t="inlineStr">
        <is>
          <t>Oui</t>
        </is>
      </c>
      <c r="H313" s="35" t="inlineStr">
        <is>
          <t>Un commentaire questionne la nouveauté du vaccin présenté.</t>
        </is>
      </c>
      <c r="I313" s="36" t="n">
        <v>1</v>
      </c>
      <c r="J313" s="36" t="n">
        <v>6</v>
      </c>
      <c r="K313" s="74">
        <f>IFERROR(I313/J313,0)</f>
        <v/>
      </c>
      <c r="L313" s="36" t="n">
        <v>22</v>
      </c>
      <c r="M313" s="36" t="n">
        <v>1640</v>
      </c>
      <c r="N313" s="36" t="n">
        <v>0</v>
      </c>
      <c r="O313" s="35" t="inlineStr">
        <is>
          <t>Image_Carrousel</t>
        </is>
      </c>
    </row>
    <row r="314" ht="13.5" customHeight="1" s="109">
      <c r="A314" s="72" t="inlineStr">
        <is>
          <t>https://www.instagram.com/p/DVTrpJBDtfj/</t>
        </is>
      </c>
      <c r="B314" s="72" t="inlineStr">
        <is>
          <t>Culture &amp; Loisirs</t>
        </is>
      </c>
      <c r="C314" s="72" t="inlineStr">
        <is>
          <t>Arts</t>
        </is>
      </c>
      <c r="D314" s="73" t="n">
        <v>50</v>
      </c>
      <c r="E314" s="73" t="inlineStr">
        <is>
          <t>N</t>
        </is>
      </c>
      <c r="F314" s="72" t="inlineStr">
        <is>
          <t>Présentation factuelle d'une initiative culturelle visant l'égalité, sans biais notable.</t>
        </is>
      </c>
      <c r="G314" s="73" t="inlineStr">
        <is>
          <t>Oui</t>
        </is>
      </c>
      <c r="H314" s="72" t="inlineStr">
        <is>
          <t>Coût de la SSR (média) mentionné en lien avec l'événement.</t>
        </is>
      </c>
      <c r="I314" s="73" t="n">
        <v>1</v>
      </c>
      <c r="J314" s="73" t="n">
        <v>8</v>
      </c>
      <c r="K314" s="74">
        <f>IFERROR(I314/J314,0)</f>
        <v/>
      </c>
      <c r="L314" s="73" t="n">
        <v>62</v>
      </c>
      <c r="M314" s="73" t="n">
        <v>7255</v>
      </c>
      <c r="N314" s="73" t="n">
        <v>47243</v>
      </c>
      <c r="O314" s="72" t="inlineStr">
        <is>
          <t>Video</t>
        </is>
      </c>
    </row>
    <row r="315" ht="13.5" customHeight="1" s="109">
      <c r="A315" s="35" t="inlineStr">
        <is>
          <t>https://www.instagram.com/p/DVXyT48DC5x/</t>
        </is>
      </c>
      <c r="B315" s="35" t="inlineStr">
        <is>
          <t>International</t>
        </is>
      </c>
      <c r="C315" s="35" t="inlineStr">
        <is>
          <t>Conflits</t>
        </is>
      </c>
      <c r="D315" s="36" t="n">
        <v>50</v>
      </c>
      <c r="E315" s="36" t="inlineStr">
        <is>
          <t>N</t>
        </is>
      </c>
      <c r="F315" s="35" t="inlineStr">
        <is>
          <t>Média public suisse, réputé pour sa neutralité factuelle et son approche équilibrée.</t>
        </is>
      </c>
      <c r="G315" s="36" t="inlineStr">
        <is>
          <t>Oui</t>
        </is>
      </c>
      <c r="H315" s="35" t="inlineStr">
        <is>
          <t>Biais, manipulation, manque de neutralité, critique du titre.</t>
        </is>
      </c>
      <c r="I315" s="36" t="n">
        <v>5</v>
      </c>
      <c r="J315" s="36" t="n">
        <v>6</v>
      </c>
      <c r="K315" s="74">
        <f>IFERROR(I315/J315,0)</f>
        <v/>
      </c>
      <c r="L315" s="36" t="n">
        <v>134</v>
      </c>
      <c r="M315" s="36" t="n">
        <v>4573</v>
      </c>
      <c r="N315" s="36" t="n">
        <v>0</v>
      </c>
      <c r="O315" s="35" t="inlineStr">
        <is>
          <t>Image_Carrousel</t>
        </is>
      </c>
    </row>
    <row r="316" ht="13.5" customHeight="1" s="109">
      <c r="A316" s="72" t="inlineStr">
        <is>
          <t>https://www.instagram.com/p/DVStx8qjIMg/</t>
        </is>
      </c>
      <c r="B316" s="72" t="inlineStr">
        <is>
          <t>Environnement &amp; Nature</t>
        </is>
      </c>
      <c r="C316" s="72" t="inlineStr">
        <is>
          <t>Climat / Ecologie</t>
        </is>
      </c>
      <c r="D316" s="73" t="n">
        <v>45</v>
      </c>
      <c r="E316" s="73" t="inlineStr">
        <is>
          <t>N</t>
        </is>
      </c>
      <c r="F316" s="72" t="inlineStr">
        <is>
          <t>Média de service public, met en avant l'innovation pour l'efficacité énergétique.</t>
        </is>
      </c>
      <c r="G316" s="73" t="inlineStr">
        <is>
          <t>Non</t>
        </is>
      </c>
      <c r="H316" s="72" t="inlineStr">
        <is>
          <t>Aucun reproche direct fait au média par les commentateurs.</t>
        </is>
      </c>
      <c r="I316" s="73" t="n">
        <v>0</v>
      </c>
      <c r="J316" s="73" t="n">
        <v>4</v>
      </c>
      <c r="K316" s="74">
        <f>IFERROR(I316/J316,0)</f>
        <v/>
      </c>
      <c r="L316" s="73" t="n">
        <v>6</v>
      </c>
      <c r="M316" s="73" t="n">
        <v>860</v>
      </c>
      <c r="N316" s="73" t="n">
        <v>0</v>
      </c>
      <c r="O316" s="72" t="inlineStr">
        <is>
          <t>Image_Carrousel</t>
        </is>
      </c>
    </row>
    <row r="317" ht="13.5" customHeight="1" s="109">
      <c r="A317" s="35" t="inlineStr">
        <is>
          <t>https://www.instagram.com/p/DVS-7XaCXNu/</t>
        </is>
      </c>
      <c r="B317" s="35" t="inlineStr">
        <is>
          <t>Securite &amp; Justice</t>
        </is>
      </c>
      <c r="C317" s="35" t="inlineStr">
        <is>
          <t>Ordre public</t>
        </is>
      </c>
      <c r="D317" s="36" t="n">
        <v>55</v>
      </c>
      <c r="E317" s="36" t="inlineStr">
        <is>
          <t>N</t>
        </is>
      </c>
      <c r="F317" s="35" t="inlineStr">
        <is>
          <t>Public service, factuel, mettant en avant l'ordre et la rigueur institutionnelle.</t>
        </is>
      </c>
      <c r="G317" s="36" t="inlineStr">
        <is>
          <t>Oui</t>
        </is>
      </c>
      <c r="H317" s="35" t="inlineStr">
        <is>
          <t>Suspecte IA et style rédactionnel/format du post.</t>
        </is>
      </c>
      <c r="I317" s="36" t="n">
        <v>1</v>
      </c>
      <c r="J317" s="36" t="n">
        <v>4</v>
      </c>
      <c r="K317" s="74">
        <f>IFERROR(I317/J317,0)</f>
        <v/>
      </c>
      <c r="L317" s="36" t="n">
        <v>197</v>
      </c>
      <c r="M317" s="36" t="n">
        <v>12195</v>
      </c>
      <c r="N317" s="36" t="n">
        <v>0</v>
      </c>
      <c r="O317" s="35" t="inlineStr">
        <is>
          <t>Image_Carrousel</t>
        </is>
      </c>
    </row>
    <row r="318" ht="13.5" customHeight="1" s="109">
      <c r="A318" s="72" t="inlineStr">
        <is>
          <t>https://www.instagram.com/p/DVWtkJRE7u7/</t>
        </is>
      </c>
      <c r="B318" s="72" t="inlineStr">
        <is>
          <t>International</t>
        </is>
      </c>
      <c r="C318" s="72" t="inlineStr">
        <is>
          <t>Geopolitique</t>
        </is>
      </c>
      <c r="D318" s="73" t="n">
        <v>70</v>
      </c>
      <c r="E318" s="73" t="inlineStr">
        <is>
          <t>D</t>
        </is>
      </c>
      <c r="F318" s="72" t="inlineStr">
        <is>
          <t>Média met en avant une voix forte anti-régime, contrastant avec une potentielle approche 'gauche'.</t>
        </is>
      </c>
      <c r="G318" s="73" t="inlineStr">
        <is>
          <t>Non</t>
        </is>
      </c>
      <c r="H318" s="72" t="n"/>
      <c r="I318" s="73" t="n">
        <v>0</v>
      </c>
      <c r="J318" s="73" t="n">
        <v>8</v>
      </c>
      <c r="K318" s="74">
        <f>IFERROR(I318/J318,0)</f>
        <v/>
      </c>
      <c r="L318" s="73" t="n">
        <v>236</v>
      </c>
      <c r="M318" s="73" t="n">
        <v>6653</v>
      </c>
      <c r="N318" s="73" t="n">
        <v>190465</v>
      </c>
      <c r="O318" s="72" t="inlineStr">
        <is>
          <t>Video</t>
        </is>
      </c>
    </row>
    <row r="319" ht="13.5" customHeight="1" s="109">
      <c r="A319" s="35" t="inlineStr">
        <is>
          <t>https://www.instagram.com/p/DVacOMxjPOO/</t>
        </is>
      </c>
      <c r="B319" s="35" t="inlineStr">
        <is>
          <t>Culture &amp; Loisirs</t>
        </is>
      </c>
      <c r="C319" s="35" t="inlineStr">
        <is>
          <t>Medias</t>
        </is>
      </c>
      <c r="D319" s="36" t="n">
        <v>50</v>
      </c>
      <c r="E319" s="36" t="inlineStr">
        <is>
          <t>N</t>
        </is>
      </c>
      <c r="F319" s="35" t="inlineStr">
        <is>
          <t>Média public traitant un sujet culturel populaire et non-controversé.</t>
        </is>
      </c>
      <c r="G319" s="36" t="inlineStr">
        <is>
          <t>Non</t>
        </is>
      </c>
      <c r="H319" s="35" t="n"/>
      <c r="I319" s="36" t="n">
        <v>0</v>
      </c>
      <c r="J319" s="36" t="n">
        <v>9</v>
      </c>
      <c r="K319" s="74">
        <f>IFERROR(I319/J319,0)</f>
        <v/>
      </c>
      <c r="L319" s="36" t="n">
        <v>9</v>
      </c>
      <c r="M319" s="36" t="n">
        <v>1193</v>
      </c>
      <c r="N319" s="36" t="n">
        <v>30492</v>
      </c>
      <c r="O319" s="35" t="inlineStr">
        <is>
          <t>Video</t>
        </is>
      </c>
    </row>
    <row r="320" ht="13.5" customHeight="1" s="109">
      <c r="A320" s="72" t="inlineStr">
        <is>
          <t>https://www.instagram.com/p/DVYIgkpj9Sl/</t>
        </is>
      </c>
      <c r="B320" s="72" t="inlineStr">
        <is>
          <t>International</t>
        </is>
      </c>
      <c r="C320" s="72" t="inlineStr">
        <is>
          <t>Conflits</t>
        </is>
      </c>
      <c r="D320" s="73" t="n">
        <v>45</v>
      </c>
      <c r="E320" s="73" t="inlineStr">
        <is>
          <t>N</t>
        </is>
      </c>
      <c r="F320" s="72" t="inlineStr">
        <is>
          <t>Reportage factuel sur l'application de sanctions internationales contre une flotte opaque.</t>
        </is>
      </c>
      <c r="G320" s="73" t="inlineStr">
        <is>
          <t>Oui</t>
        </is>
      </c>
      <c r="H320" s="72" t="inlineStr">
        <is>
          <t>Un commentaire se moque ou remet en question la crédibilité de RTS.</t>
        </is>
      </c>
      <c r="I320" s="73" t="n">
        <v>1</v>
      </c>
      <c r="J320" s="73" t="n">
        <v>8</v>
      </c>
      <c r="K320" s="74">
        <f>IFERROR(I320/J320,0)</f>
        <v/>
      </c>
      <c r="L320" s="73" t="n">
        <v>11</v>
      </c>
      <c r="M320" s="73" t="n">
        <v>3363</v>
      </c>
      <c r="N320" s="73" t="n">
        <v>0</v>
      </c>
      <c r="O320" s="72" t="inlineStr">
        <is>
          <t>Image_Carrousel</t>
        </is>
      </c>
    </row>
    <row r="321" ht="13.5" customHeight="1" s="109">
      <c r="A321" s="35" t="inlineStr">
        <is>
          <t>https://www.instagram.com/p/DVTI7AyjICo/</t>
        </is>
      </c>
      <c r="B321" s="35" t="inlineStr">
        <is>
          <t>Environnement &amp; Nature</t>
        </is>
      </c>
      <c r="C321" s="35" t="inlineStr">
        <is>
          <t>Climat / Ecologie</t>
        </is>
      </c>
      <c r="D321" s="36" t="n">
        <v>45</v>
      </c>
      <c r="E321" s="36" t="inlineStr">
        <is>
          <t>N</t>
        </is>
      </c>
      <c r="F321" s="35" t="inlineStr">
        <is>
          <t>RTSinfo, média public, rapporte faits avec message de sensibilisation écologique.</t>
        </is>
      </c>
      <c r="G321" s="36" t="inlineStr">
        <is>
          <t>Non</t>
        </is>
      </c>
      <c r="H321" s="35" t="n"/>
      <c r="I321" s="36" t="n">
        <v>0</v>
      </c>
      <c r="J321" s="36" t="n">
        <v>10</v>
      </c>
      <c r="K321" s="74">
        <f>IFERROR(I321/J321,0)</f>
        <v/>
      </c>
      <c r="L321" s="36" t="n">
        <v>21</v>
      </c>
      <c r="M321" s="36" t="n">
        <v>18246</v>
      </c>
      <c r="N321" s="36" t="n">
        <v>0</v>
      </c>
      <c r="O321" s="35" t="inlineStr">
        <is>
          <t>Image_Carrousel</t>
        </is>
      </c>
    </row>
    <row r="322" ht="13.5" customHeight="1" s="109">
      <c r="A322" s="72" t="inlineStr">
        <is>
          <t>https://www.instagram.com/p/DVWeLF2DW9C/</t>
        </is>
      </c>
      <c r="B322" s="72" t="inlineStr">
        <is>
          <t>Societe &amp; Droits</t>
        </is>
      </c>
      <c r="C322" s="72" t="inlineStr">
        <is>
          <t>Faits de societe</t>
        </is>
      </c>
      <c r="D322" s="73" t="n">
        <v>45</v>
      </c>
      <c r="E322" s="73" t="inlineStr">
        <is>
          <t>N</t>
        </is>
      </c>
      <c r="F322" s="72" t="inlineStr">
        <is>
          <t>Média public suisse, ton informatif, léger penchant social.</t>
        </is>
      </c>
      <c r="G322" s="73" t="inlineStr">
        <is>
          <t>Oui</t>
        </is>
      </c>
      <c r="H322" s="72" t="inlineStr">
        <is>
          <t>Manque de completude dans les exemples cités.</t>
        </is>
      </c>
      <c r="I322" s="73" t="n">
        <v>1</v>
      </c>
      <c r="J322" s="73" t="n">
        <v>6</v>
      </c>
      <c r="K322" s="74">
        <f>IFERROR(I322/J322,0)</f>
        <v/>
      </c>
      <c r="L322" s="73" t="n">
        <v>207</v>
      </c>
      <c r="M322" s="73" t="n">
        <v>16124</v>
      </c>
      <c r="N322" s="73" t="n">
        <v>0</v>
      </c>
      <c r="O322" s="72" t="inlineStr">
        <is>
          <t>Image_Carrousel</t>
        </is>
      </c>
    </row>
    <row r="323" ht="13.5" customHeight="1" s="109">
      <c r="A323" s="35" t="inlineStr">
        <is>
          <t>https://www.instagram.com/p/DVQFBJfDFo1/</t>
        </is>
      </c>
      <c r="B323" s="35" t="inlineStr">
        <is>
          <t>International</t>
        </is>
      </c>
      <c r="C323" s="35" t="inlineStr">
        <is>
          <t>Conflits</t>
        </is>
      </c>
      <c r="D323" s="36" t="n">
        <v>50</v>
      </c>
      <c r="E323" s="36" t="inlineStr">
        <is>
          <t>N</t>
        </is>
      </c>
      <c r="F323" s="35" t="inlineStr">
        <is>
          <t>RTSinfo présente les faits d'un conflit sans parti pris apparent.</t>
        </is>
      </c>
      <c r="G323" s="36" t="inlineStr">
        <is>
          <t>Non</t>
        </is>
      </c>
      <c r="H323" s="35" t="n"/>
      <c r="I323" s="36" t="n">
        <v>0</v>
      </c>
      <c r="J323" s="36" t="n">
        <v>7</v>
      </c>
      <c r="K323" s="74">
        <f>IFERROR(I323/J323,0)</f>
        <v/>
      </c>
      <c r="L323" s="36" t="n">
        <v>64</v>
      </c>
      <c r="M323" s="36" t="n">
        <v>6055</v>
      </c>
      <c r="N323" s="36" t="n">
        <v>0</v>
      </c>
      <c r="O323" s="35" t="inlineStr">
        <is>
          <t>Image_Carrousel</t>
        </is>
      </c>
    </row>
    <row r="324" ht="13.5" customHeight="1" s="109">
      <c r="A324" s="72" t="inlineStr">
        <is>
          <t>https://www.instagram.com/p/DVOlM40gnAn/</t>
        </is>
      </c>
      <c r="B324" s="72" t="inlineStr">
        <is>
          <t>Culture &amp; Loisirs</t>
        </is>
      </c>
      <c r="C324" s="72" t="inlineStr">
        <is>
          <t>Sport</t>
        </is>
      </c>
      <c r="D324" s="73" t="n">
        <v>50</v>
      </c>
      <c r="E324" s="73" t="inlineStr">
        <is>
          <t>N</t>
        </is>
      </c>
      <c r="F324" s="72" t="inlineStr">
        <is>
          <t>Sujet neutre, média de service public suisse, pas de parti pris idéologique.</t>
        </is>
      </c>
      <c r="G324" s="73" t="inlineStr">
        <is>
          <t>Oui</t>
        </is>
      </c>
      <c r="H324" s="72" t="inlineStr">
        <is>
          <t>Correction sur la distance réelle de la course, plus longue que mentionnée.</t>
        </is>
      </c>
      <c r="I324" s="73" t="n">
        <v>1</v>
      </c>
      <c r="J324" s="73" t="n">
        <v>5</v>
      </c>
      <c r="K324" s="74">
        <f>IFERROR(I324/J324,0)</f>
        <v/>
      </c>
      <c r="L324" s="73" t="n">
        <v>5</v>
      </c>
      <c r="M324" s="73" t="n">
        <v>2197</v>
      </c>
      <c r="N324" s="73" t="n">
        <v>46244</v>
      </c>
      <c r="O324" s="72" t="inlineStr">
        <is>
          <t>Video</t>
        </is>
      </c>
    </row>
    <row r="325" ht="13.5" customHeight="1" s="109">
      <c r="A325" s="35" t="inlineStr">
        <is>
          <t>https://www.instagram.com/p/DVRNwNgDDdI/</t>
        </is>
      </c>
      <c r="B325" s="35" t="inlineStr">
        <is>
          <t>Societe &amp; Droits</t>
        </is>
      </c>
      <c r="C325" s="35" t="inlineStr">
        <is>
          <t>Faits de societe</t>
        </is>
      </c>
      <c r="D325" s="36" t="n">
        <v>50</v>
      </c>
      <c r="E325" s="36" t="inlineStr">
        <is>
          <t>N</t>
        </is>
      </c>
      <c r="F325" s="35" t="inlineStr">
        <is>
          <t>Média de service public, vise l'objectivité factuelle et l'information.</t>
        </is>
      </c>
      <c r="G325" s="36" t="inlineStr">
        <is>
          <t>Non</t>
        </is>
      </c>
      <c r="H325" s="35" t="n"/>
      <c r="I325" s="36" t="n">
        <v>0</v>
      </c>
      <c r="J325" s="36" t="n">
        <v>7</v>
      </c>
      <c r="K325" s="74">
        <f>IFERROR(I325/J325,0)</f>
        <v/>
      </c>
      <c r="L325" s="36" t="n">
        <v>39</v>
      </c>
      <c r="M325" s="36" t="n">
        <v>6837</v>
      </c>
      <c r="N325" s="36" t="n">
        <v>66590</v>
      </c>
      <c r="O325" s="35" t="inlineStr">
        <is>
          <t>Video</t>
        </is>
      </c>
    </row>
    <row r="326" ht="13.5" customHeight="1" s="109">
      <c r="A326" s="72" t="inlineStr">
        <is>
          <t>https://www.instagram.com/p/DVTEyCqgEOq/</t>
        </is>
      </c>
      <c r="B326" s="72" t="inlineStr">
        <is>
          <t>International</t>
        </is>
      </c>
      <c r="C326" s="72" t="inlineStr">
        <is>
          <t>Conflits</t>
        </is>
      </c>
      <c r="D326" s="73" t="n">
        <v>50</v>
      </c>
      <c r="E326" s="73" t="inlineStr">
        <is>
          <t>N</t>
        </is>
      </c>
      <c r="F326" s="72" t="inlineStr">
        <is>
          <t>RTS, service public suisse. Rapports factuels et neutres sur l'escalade militaire régionale.</t>
        </is>
      </c>
      <c r="G326" s="73" t="inlineStr">
        <is>
          <t>Non</t>
        </is>
      </c>
      <c r="H326" s="72" t="n"/>
      <c r="I326" s="73" t="n">
        <v>0</v>
      </c>
      <c r="J326" s="73" t="n">
        <v>4</v>
      </c>
      <c r="K326" s="74">
        <f>IFERROR(I326/J326,0)</f>
        <v/>
      </c>
      <c r="L326" s="73" t="n">
        <v>270</v>
      </c>
      <c r="M326" s="73" t="n">
        <v>6508</v>
      </c>
      <c r="N326" s="73" t="n">
        <v>0</v>
      </c>
      <c r="O326" s="72" t="inlineStr">
        <is>
          <t>Image_Carrousel</t>
        </is>
      </c>
    </row>
    <row r="327" ht="13.5" customHeight="1" s="109">
      <c r="A327" s="35" t="inlineStr">
        <is>
          <t>https://www.instagram.com/p/DVQKSqZDEFI/</t>
        </is>
      </c>
      <c r="B327" s="35" t="inlineStr">
        <is>
          <t>Culture &amp; Loisirs</t>
        </is>
      </c>
      <c r="C327" s="35" t="inlineStr">
        <is>
          <t>Arts</t>
        </is>
      </c>
      <c r="D327" s="36" t="n">
        <v>50</v>
      </c>
      <c r="E327" s="36" t="inlineStr">
        <is>
          <t>N</t>
        </is>
      </c>
      <c r="F327" s="35" t="inlineStr">
        <is>
          <t>Média de service public, vise la neutralité et la couverture culturelle large.</t>
        </is>
      </c>
      <c r="G327" s="36" t="inlineStr">
        <is>
          <t>Oui</t>
        </is>
      </c>
      <c r="H327" s="35" t="inlineStr">
        <is>
          <t>Erreur d'identification sur une photo dans la publication initiale.</t>
        </is>
      </c>
      <c r="I327" s="36" t="n">
        <v>1</v>
      </c>
      <c r="J327" s="36" t="n">
        <v>3</v>
      </c>
      <c r="K327" s="74">
        <f>IFERROR(I327/J327,0)</f>
        <v/>
      </c>
      <c r="L327" s="36" t="n">
        <v>3</v>
      </c>
      <c r="M327" s="36" t="n">
        <v>1445</v>
      </c>
      <c r="N327" s="36" t="n">
        <v>0</v>
      </c>
      <c r="O327" s="35" t="inlineStr">
        <is>
          <t>Image_Carrousel</t>
        </is>
      </c>
    </row>
    <row r="328" ht="13.5" customHeight="1" s="109">
      <c r="A328" s="72" t="inlineStr">
        <is>
          <t>https://www.instagram.com/p/DVQrUrED8Yt/</t>
        </is>
      </c>
      <c r="B328" s="72" t="inlineStr">
        <is>
          <t>International</t>
        </is>
      </c>
      <c r="C328" s="72" t="inlineStr">
        <is>
          <t>Conflits</t>
        </is>
      </c>
      <c r="D328" s="73" t="n">
        <v>35</v>
      </c>
      <c r="E328" s="73" t="inlineStr">
        <is>
          <t>G</t>
        </is>
      </c>
      <c r="F328" s="72" t="inlineStr">
        <is>
          <t>RTS critique l'armée israélienne pour avoir tué des humanitaires et tenté de couvrir les faits.</t>
        </is>
      </c>
      <c r="G328" s="73" t="inlineStr">
        <is>
          <t>Oui</t>
        </is>
      </c>
      <c r="H328" s="72" t="inlineStr">
        <is>
          <t>Questionne la présentation des victimes et l'équilibre narratif du conflit.</t>
        </is>
      </c>
      <c r="I328" s="73" t="n">
        <v>2</v>
      </c>
      <c r="J328" s="73" t="n">
        <v>11</v>
      </c>
      <c r="K328" s="74">
        <f>IFERROR(I328/J328,0)</f>
        <v/>
      </c>
      <c r="L328" s="73" t="n">
        <v>256</v>
      </c>
      <c r="M328" s="73" t="n">
        <v>10097</v>
      </c>
      <c r="N328" s="73" t="n">
        <v>0</v>
      </c>
      <c r="O328" s="72" t="inlineStr">
        <is>
          <t>Image_Carrousel</t>
        </is>
      </c>
    </row>
    <row r="329" ht="13.5" customHeight="1" s="109">
      <c r="A329" s="35" t="inlineStr">
        <is>
          <t>https://www.instagram.com/p/DVQyNCmiDTY/</t>
        </is>
      </c>
      <c r="B329" s="35" t="inlineStr">
        <is>
          <t>Culture &amp; Loisirs</t>
        </is>
      </c>
      <c r="C329" s="35" t="inlineStr">
        <is>
          <t>Arts</t>
        </is>
      </c>
      <c r="D329" s="36" t="n">
        <v>50</v>
      </c>
      <c r="E329" s="36" t="inlineStr">
        <is>
          <t>N</t>
        </is>
      </c>
      <c r="F329" s="35" t="inlineStr">
        <is>
          <t>Reportage descriptif sur un artiste et son projet musical, contenu neutre et informatif.</t>
        </is>
      </c>
      <c r="G329" s="36" t="inlineStr">
        <is>
          <t>Oui</t>
        </is>
      </c>
      <c r="H329" s="35" t="inlineStr">
        <is>
          <t>Critique la qualité du journalisme et la pertinence du sujet.</t>
        </is>
      </c>
      <c r="I329" s="36" t="n">
        <v>2</v>
      </c>
      <c r="J329" s="36" t="n">
        <v>9</v>
      </c>
      <c r="K329" s="74">
        <f>IFERROR(I329/J329,0)</f>
        <v/>
      </c>
      <c r="L329" s="36" t="n">
        <v>23</v>
      </c>
      <c r="M329" s="36" t="n">
        <v>4037</v>
      </c>
      <c r="N329" s="36" t="n">
        <v>0</v>
      </c>
      <c r="O329" s="35" t="inlineStr">
        <is>
          <t>Image_Carrousel</t>
        </is>
      </c>
    </row>
    <row r="330" ht="13.5" customHeight="1" s="109">
      <c r="A330" s="72" t="inlineStr">
        <is>
          <t>https://www.instagram.com/p/DVRVh90kSDO/</t>
        </is>
      </c>
      <c r="B330" s="72" t="inlineStr">
        <is>
          <t>Culture &amp; Loisirs</t>
        </is>
      </c>
      <c r="C330" s="72" t="inlineStr">
        <is>
          <t>Sport</t>
        </is>
      </c>
      <c r="D330" s="73" t="n">
        <v>45</v>
      </c>
      <c r="E330" s="73" t="inlineStr">
        <is>
          <t>N</t>
        </is>
      </c>
      <c r="F330" s="72" t="inlineStr">
        <is>
          <t>Média de service public, vise la neutralité et l'information factuelle.</t>
        </is>
      </c>
      <c r="G330" s="73" t="inlineStr">
        <is>
          <t>Oui</t>
        </is>
      </c>
      <c r="H330" s="72" t="inlineStr">
        <is>
          <t>Critique le choix du sujet du média, qui ignore d'autres priorités.</t>
        </is>
      </c>
      <c r="I330" s="73" t="n">
        <v>1</v>
      </c>
      <c r="J330" s="73" t="n">
        <v>2</v>
      </c>
      <c r="K330" s="74">
        <f>IFERROR(I330/J330,0)</f>
        <v/>
      </c>
      <c r="L330" s="73" t="n">
        <v>42</v>
      </c>
      <c r="M330" s="73" t="n">
        <v>4368</v>
      </c>
      <c r="N330" s="73" t="n">
        <v>0</v>
      </c>
      <c r="O330" s="72" t="inlineStr">
        <is>
          <t>Image_Carrousel</t>
        </is>
      </c>
    </row>
    <row r="331" ht="13.5" customHeight="1" s="109">
      <c r="A331" s="35" t="inlineStr">
        <is>
          <t>https://www.instagram.com/p/DVOjpIJjOfj/</t>
        </is>
      </c>
      <c r="B331" s="35" t="inlineStr">
        <is>
          <t>Societe &amp; Droits</t>
        </is>
      </c>
      <c r="C331" s="35" t="inlineStr">
        <is>
          <t>Faits de societe</t>
        </is>
      </c>
      <c r="D331" s="36" t="n">
        <v>40</v>
      </c>
      <c r="E331" s="36" t="inlineStr">
        <is>
          <t>N</t>
        </is>
      </c>
      <c r="F331" s="35" t="inlineStr">
        <is>
          <t>Média de service public, couvrant sujets sociaux et culturels avec un ton informatif.</t>
        </is>
      </c>
      <c r="G331" s="36" t="inlineStr">
        <is>
          <t>Oui</t>
        </is>
      </c>
      <c r="H331" s="35" t="inlineStr">
        <is>
          <t>Le commentaire suggère un manque de contexte religieux sur l'intolérance.</t>
        </is>
      </c>
      <c r="I331" s="36" t="n">
        <v>1</v>
      </c>
      <c r="J331" s="36" t="n">
        <v>4</v>
      </c>
      <c r="K331" s="74">
        <f>IFERROR(I331/J331,0)</f>
        <v/>
      </c>
      <c r="L331" s="36" t="n">
        <v>25</v>
      </c>
      <c r="M331" s="36" t="n">
        <v>760</v>
      </c>
      <c r="N331" s="36" t="n">
        <v>0</v>
      </c>
      <c r="O331" s="35" t="inlineStr">
        <is>
          <t>Image_Carrousel</t>
        </is>
      </c>
    </row>
    <row r="332" ht="13.5" customHeight="1" s="109">
      <c r="A332" s="72" t="inlineStr">
        <is>
          <t>https://www.instagram.com/p/DVRbXA1j_oM/</t>
        </is>
      </c>
      <c r="B332" s="72" t="inlineStr">
        <is>
          <t>Sante</t>
        </is>
      </c>
      <c r="C332" s="72" t="inlineStr">
        <is>
          <t>Sante publique</t>
        </is>
      </c>
      <c r="D332" s="73" t="n">
        <v>45</v>
      </c>
      <c r="E332" s="73" t="inlineStr">
        <is>
          <t>N</t>
        </is>
      </c>
      <c r="F332" s="72" t="inlineStr">
        <is>
          <t>RTS Info, service public suisse, informe sur les découvertes scientifiques pour le bien-être.</t>
        </is>
      </c>
      <c r="G332" s="73" t="inlineStr">
        <is>
          <t>Oui</t>
        </is>
      </c>
      <c r="H332" s="72" t="inlineStr">
        <is>
          <t>Un commentaire demande la source de l'étude mentionnée.</t>
        </is>
      </c>
      <c r="I332" s="73" t="n">
        <v>1</v>
      </c>
      <c r="J332" s="73" t="n">
        <v>10</v>
      </c>
      <c r="K332" s="74">
        <f>IFERROR(I332/J332,0)</f>
        <v/>
      </c>
      <c r="L332" s="73" t="n">
        <v>19</v>
      </c>
      <c r="M332" s="73" t="n">
        <v>5262</v>
      </c>
      <c r="N332" s="73" t="n">
        <v>0</v>
      </c>
      <c r="O332" s="72" t="inlineStr">
        <is>
          <t>Image_Carrousel</t>
        </is>
      </c>
    </row>
    <row r="333" ht="13.5" customHeight="1" s="109">
      <c r="A333" s="35" t="inlineStr">
        <is>
          <t>https://www.instagram.com/p/DVOGfZ6jV4w/</t>
        </is>
      </c>
      <c r="B333" s="35" t="inlineStr">
        <is>
          <t>Environnement &amp; Nature</t>
        </is>
      </c>
      <c r="C333" s="35" t="inlineStr">
        <is>
          <t>Climat / Ecologie</t>
        </is>
      </c>
      <c r="D333" s="36" t="n">
        <v>50</v>
      </c>
      <c r="E333" s="36" t="inlineStr">
        <is>
          <t>N</t>
        </is>
      </c>
      <c r="F333" s="35" t="inlineStr">
        <is>
          <t>Média public suisse, informatif, absence de biais politique apparent.</t>
        </is>
      </c>
      <c r="G333" s="36" t="inlineStr">
        <is>
          <t>Non</t>
        </is>
      </c>
      <c r="H333" s="35" t="n"/>
      <c r="I333" s="36" t="n">
        <v>0</v>
      </c>
      <c r="J333" s="36" t="n">
        <v>7</v>
      </c>
      <c r="K333" s="74">
        <f>IFERROR(I333/J333,0)</f>
        <v/>
      </c>
      <c r="L333" s="36" t="n">
        <v>14</v>
      </c>
      <c r="M333" s="36" t="n">
        <v>3516</v>
      </c>
      <c r="N333" s="36" t="n">
        <v>0</v>
      </c>
      <c r="O333" s="35" t="inlineStr">
        <is>
          <t>Image_Carrousel</t>
        </is>
      </c>
    </row>
    <row r="334" ht="13.5" customHeight="1" s="109">
      <c r="A334" s="72" t="inlineStr">
        <is>
          <t>https://www.instagram.com/p/DVRGwBajLdH/</t>
        </is>
      </c>
      <c r="B334" s="72" t="inlineStr">
        <is>
          <t>Societe &amp; Droits</t>
        </is>
      </c>
      <c r="C334" s="72" t="inlineStr">
        <is>
          <t>Faits de societe</t>
        </is>
      </c>
      <c r="D334" s="73" t="n">
        <v>35</v>
      </c>
      <c r="E334" s="73" t="inlineStr">
        <is>
          <t>G</t>
        </is>
      </c>
      <c r="F334" s="72" t="inlineStr">
        <is>
          <t>Média public couvrant sujets sociétaux, de consommation et environnementaux.</t>
        </is>
      </c>
      <c r="G334" s="73" t="inlineStr">
        <is>
          <t>Oui</t>
        </is>
      </c>
      <c r="H334" s="72" t="inlineStr">
        <is>
          <t>Accusation de favoriser la maltraitance animale.</t>
        </is>
      </c>
      <c r="I334" s="73" t="n">
        <v>1</v>
      </c>
      <c r="J334" s="73" t="n">
        <v>9</v>
      </c>
      <c r="K334" s="74">
        <f>IFERROR(I334/J334,0)</f>
        <v/>
      </c>
      <c r="L334" s="73" t="n">
        <v>39</v>
      </c>
      <c r="M334" s="73" t="n">
        <v>2346</v>
      </c>
      <c r="N334" s="73" t="n">
        <v>0</v>
      </c>
      <c r="O334" s="72" t="inlineStr">
        <is>
          <t>Image_Carrousel</t>
        </is>
      </c>
    </row>
    <row r="335" ht="13.5" customHeight="1" s="109">
      <c r="A335" s="35" t="inlineStr">
        <is>
          <t>https://www.instagram.com/p/DVQCHYyjO1t/</t>
        </is>
      </c>
      <c r="B335" s="35" t="inlineStr">
        <is>
          <t>Sante</t>
        </is>
      </c>
      <c r="C335" s="35" t="inlineStr">
        <is>
          <t>Sante publique</t>
        </is>
      </c>
      <c r="D335" s="36" t="n">
        <v>45</v>
      </c>
      <c r="E335" s="36" t="inlineStr">
        <is>
          <t>N</t>
        </is>
      </c>
      <c r="F335" s="35" t="inlineStr">
        <is>
          <t>RTS est un média de service public, généralement perçu comme neutre et factuel.</t>
        </is>
      </c>
      <c r="G335" s="36" t="inlineStr">
        <is>
          <t>Oui</t>
        </is>
      </c>
      <c r="H335" s="35" t="inlineStr">
        <is>
          <t>Avertissement contre l'emballement médiatique et la simplification des résultats.</t>
        </is>
      </c>
      <c r="I335" s="36" t="n">
        <v>1</v>
      </c>
      <c r="J335" s="36" t="n">
        <v>3</v>
      </c>
      <c r="K335" s="74">
        <f>IFERROR(I335/J335,0)</f>
        <v/>
      </c>
      <c r="L335" s="36" t="n">
        <v>3</v>
      </c>
      <c r="M335" s="36" t="n">
        <v>1492</v>
      </c>
      <c r="N335" s="36" t="n">
        <v>0</v>
      </c>
      <c r="O335" s="35" t="inlineStr">
        <is>
          <t>Image_Carrousel</t>
        </is>
      </c>
    </row>
    <row r="336" ht="13.5" customHeight="1" s="109">
      <c r="A336" s="72" t="inlineStr">
        <is>
          <t>https://www.instagram.com/p/DVQklS8D2-t/</t>
        </is>
      </c>
      <c r="B336" s="72" t="inlineStr">
        <is>
          <t>Societe &amp; Droits</t>
        </is>
      </c>
      <c r="C336" s="72" t="inlineStr">
        <is>
          <t>Education</t>
        </is>
      </c>
      <c r="D336" s="73" t="n">
        <v>40</v>
      </c>
      <c r="E336" s="73" t="inlineStr">
        <is>
          <t>N</t>
        </is>
      </c>
      <c r="F336" s="72" t="inlineStr">
        <is>
          <t>RTS, service public, aborde enjeux d'éducation et liberté académique.</t>
        </is>
      </c>
      <c r="G336" s="73" t="inlineStr">
        <is>
          <t>Non</t>
        </is>
      </c>
      <c r="H336" s="72" t="n"/>
      <c r="I336" s="73" t="n">
        <v>0</v>
      </c>
      <c r="J336" s="73" t="n">
        <v>4</v>
      </c>
      <c r="K336" s="74">
        <f>IFERROR(I336/J336,0)</f>
        <v/>
      </c>
      <c r="L336" s="73" t="n">
        <v>135</v>
      </c>
      <c r="M336" s="73" t="n">
        <v>9173</v>
      </c>
      <c r="N336" s="73" t="n">
        <v>166133</v>
      </c>
      <c r="O336" s="72" t="inlineStr">
        <is>
          <t>Video</t>
        </is>
      </c>
    </row>
    <row r="337" ht="13.5" customHeight="1" s="109">
      <c r="A337" s="35" t="inlineStr">
        <is>
          <t>https://www.instagram.com/p/DVQaMmpgvFn/</t>
        </is>
      </c>
      <c r="B337" s="35" t="inlineStr">
        <is>
          <t>Environnement &amp; Nature</t>
        </is>
      </c>
      <c r="C337" s="35" t="inlineStr">
        <is>
          <t>Climat / Ecologie</t>
        </is>
      </c>
      <c r="D337" s="36" t="n">
        <v>50</v>
      </c>
      <c r="E337" s="36" t="inlineStr">
        <is>
          <t>N</t>
        </is>
      </c>
      <c r="F337" s="35" t="inlineStr">
        <is>
          <t>RTS est un média public, contenu factuel et descriptif.</t>
        </is>
      </c>
      <c r="G337" s="36" t="inlineStr">
        <is>
          <t>Oui</t>
        </is>
      </c>
      <c r="H337" s="35" t="inlineStr">
        <is>
          <t>Le média minimise la signification climatique de l'événement.</t>
        </is>
      </c>
      <c r="I337" s="36" t="n">
        <v>1</v>
      </c>
      <c r="J337" s="36" t="n">
        <v>3</v>
      </c>
      <c r="K337" s="74">
        <f>IFERROR(I337/J337,0)</f>
        <v/>
      </c>
      <c r="L337" s="36" t="n">
        <v>3</v>
      </c>
      <c r="M337" s="36" t="n">
        <v>1411</v>
      </c>
      <c r="N337" s="36" t="n">
        <v>22963</v>
      </c>
      <c r="O337" s="35" t="inlineStr">
        <is>
          <t>Video</t>
        </is>
      </c>
    </row>
    <row r="338" ht="13.5" customHeight="1" s="109">
      <c r="A338" s="72" t="inlineStr">
        <is>
          <t>https://www.instagram.com/p/DVOEMUnDdjW/</t>
        </is>
      </c>
      <c r="B338" s="72" t="inlineStr">
        <is>
          <t>Politique &amp; Institutions</t>
        </is>
      </c>
      <c r="C338" s="72" t="inlineStr">
        <is>
          <t>Autorites</t>
        </is>
      </c>
      <c r="D338" s="73" t="n">
        <v>48</v>
      </c>
      <c r="E338" s="73" t="inlineStr">
        <is>
          <t>N</t>
        </is>
      </c>
      <c r="F338" s="72" t="inlineStr">
        <is>
          <t>Média public suisse, vise l'impartialité et la couverture factuelle des événements.</t>
        </is>
      </c>
      <c r="G338" s="73" t="inlineStr">
        <is>
          <t>Non</t>
        </is>
      </c>
      <c r="H338" s="72" t="n"/>
      <c r="I338" s="73" t="n">
        <v>0</v>
      </c>
      <c r="J338" s="73" t="n">
        <v>7</v>
      </c>
      <c r="K338" s="74">
        <f>IFERROR(I338/J338,0)</f>
        <v/>
      </c>
      <c r="L338" s="73" t="n">
        <v>31</v>
      </c>
      <c r="M338" s="73" t="n">
        <v>1608</v>
      </c>
      <c r="N338" s="73" t="n">
        <v>0</v>
      </c>
      <c r="O338" s="72" t="inlineStr">
        <is>
          <t>Image_Carrousel</t>
        </is>
      </c>
    </row>
    <row r="339" ht="13.5" customHeight="1" s="109">
      <c r="A339" s="35" t="inlineStr">
        <is>
          <t>https://www.instagram.com/p/DVRMmrNiNi7/</t>
        </is>
      </c>
      <c r="B339" s="35" t="inlineStr">
        <is>
          <t>Securite &amp; Justice</t>
        </is>
      </c>
      <c r="C339" s="35" t="inlineStr">
        <is>
          <t>Ordre public</t>
        </is>
      </c>
      <c r="D339" s="36" t="n">
        <v>50</v>
      </c>
      <c r="E339" s="36" t="inlineStr">
        <is>
          <t>N</t>
        </is>
      </c>
      <c r="F339" s="35" t="inlineStr">
        <is>
          <t>Reportage factuel sur un accident de tramway et son enquête.</t>
        </is>
      </c>
      <c r="G339" s="36" t="inlineStr">
        <is>
          <t>Non</t>
        </is>
      </c>
      <c r="H339" s="35" t="inlineStr">
        <is>
          <t>Aucun reproche direct au média.</t>
        </is>
      </c>
      <c r="I339" s="36" t="n">
        <v>0</v>
      </c>
      <c r="J339" s="36" t="n">
        <v>5</v>
      </c>
      <c r="K339" s="74">
        <f>IFERROR(I339/J339,0)</f>
        <v/>
      </c>
      <c r="L339" s="36" t="n">
        <v>52</v>
      </c>
      <c r="M339" s="36" t="n">
        <v>5230</v>
      </c>
      <c r="N339" s="36" t="n">
        <v>0</v>
      </c>
      <c r="O339" s="35" t="inlineStr">
        <is>
          <t>Image_Carrousel</t>
        </is>
      </c>
    </row>
    <row r="340" ht="13.5" customHeight="1" s="109">
      <c r="A340" s="72" t="inlineStr">
        <is>
          <t>https://www.instagram.com/p/DVO2lG2jbEq/</t>
        </is>
      </c>
      <c r="B340" s="72" t="inlineStr">
        <is>
          <t>Economie &amp; Travail</t>
        </is>
      </c>
      <c r="C340" s="72" t="inlineStr">
        <is>
          <t>Consommation</t>
        </is>
      </c>
      <c r="D340" s="73" t="n">
        <v>45</v>
      </c>
      <c r="E340" s="73" t="inlineStr">
        <is>
          <t>N</t>
        </is>
      </c>
      <c r="F340" s="72" t="inlineStr">
        <is>
          <t>Média public, rapporte factuellement la croissance du tourisme suisse.</t>
        </is>
      </c>
      <c r="G340" s="73" t="inlineStr">
        <is>
          <t>Non</t>
        </is>
      </c>
      <c r="H340" s="72" t="n"/>
      <c r="I340" s="73" t="n">
        <v>0</v>
      </c>
      <c r="J340" s="73" t="n">
        <v>3</v>
      </c>
      <c r="K340" s="74">
        <f>IFERROR(I340/J340,0)</f>
        <v/>
      </c>
      <c r="L340" s="73" t="n">
        <v>16</v>
      </c>
      <c r="M340" s="73" t="n">
        <v>2800</v>
      </c>
      <c r="N340" s="73" t="n">
        <v>0</v>
      </c>
      <c r="O340" s="72" t="inlineStr">
        <is>
          <t>Image_Carrousel</t>
        </is>
      </c>
    </row>
    <row r="341" ht="13.5" customHeight="1" s="109">
      <c r="A341" s="35" t="inlineStr">
        <is>
          <t>https://www.instagram.com/p/DVONjSSD5wn/</t>
        </is>
      </c>
      <c r="B341" s="35" t="inlineStr">
        <is>
          <t>Environnement &amp; Nature</t>
        </is>
      </c>
      <c r="C341" s="35" t="inlineStr">
        <is>
          <t>Climat / Ecologie</t>
        </is>
      </c>
      <c r="D341" s="36" t="n">
        <v>40</v>
      </c>
      <c r="E341" s="36" t="inlineStr">
        <is>
          <t>N</t>
        </is>
      </c>
      <c r="F341" s="35" t="inlineStr">
        <is>
          <t>Média public Suisse romande (RTS), source AFP, rapport factuel sur conservation.</t>
        </is>
      </c>
      <c r="G341" s="36" t="inlineStr">
        <is>
          <t>Non</t>
        </is>
      </c>
      <c r="H341" s="35" t="n"/>
      <c r="I341" s="36" t="n">
        <v>0</v>
      </c>
      <c r="J341" s="36" t="n">
        <v>6</v>
      </c>
      <c r="K341" s="74">
        <f>IFERROR(I341/J341,0)</f>
        <v/>
      </c>
      <c r="L341" s="36" t="n">
        <v>6</v>
      </c>
      <c r="M341" s="36" t="n">
        <v>1378</v>
      </c>
      <c r="N341" s="36" t="n">
        <v>17086</v>
      </c>
      <c r="O341" s="35" t="inlineStr">
        <is>
          <t>Video</t>
        </is>
      </c>
    </row>
    <row r="342" ht="13.5" customHeight="1" s="109">
      <c r="A342" s="72" t="inlineStr">
        <is>
          <t>https://www.instagram.com/p/DVP7TaEk8KG/</t>
        </is>
      </c>
      <c r="B342" s="72" t="inlineStr">
        <is>
          <t>Sante</t>
        </is>
      </c>
      <c r="C342" s="72" t="inlineStr">
        <is>
          <t>Sante publique</t>
        </is>
      </c>
      <c r="D342" s="73" t="n">
        <v>55</v>
      </c>
      <c r="E342" s="73" t="inlineStr">
        <is>
          <t>N</t>
        </is>
      </c>
      <c r="F342" s="72" t="inlineStr">
        <is>
          <t>RTS, informe sur un problème de santé publique sans parti pris évident.</t>
        </is>
      </c>
      <c r="G342" s="73" t="inlineStr">
        <is>
          <t>Oui</t>
        </is>
      </c>
      <c r="H342" s="72" t="inlineStr">
        <is>
          <t>Accusation de diabolisation et de manque de perspective sur les causes de décès.</t>
        </is>
      </c>
      <c r="I342" s="73" t="n">
        <v>1</v>
      </c>
      <c r="J342" s="73" t="n">
        <v>8</v>
      </c>
      <c r="K342" s="74">
        <f>IFERROR(I342/J342,0)</f>
        <v/>
      </c>
      <c r="L342" s="73" t="n">
        <v>69</v>
      </c>
      <c r="M342" s="73" t="n">
        <v>3510</v>
      </c>
      <c r="N342" s="73" t="n">
        <v>130911</v>
      </c>
      <c r="O342" s="72" t="inlineStr">
        <is>
          <t>Video</t>
        </is>
      </c>
    </row>
    <row r="343" ht="13.5" customHeight="1" s="109">
      <c r="A343" s="35" t="inlineStr">
        <is>
          <t>https://www.instagram.com/p/DVNg5OqjLRq/</t>
        </is>
      </c>
      <c r="B343" s="35" t="inlineStr">
        <is>
          <t>Securite &amp; Justice</t>
        </is>
      </c>
      <c r="C343" s="35" t="inlineStr">
        <is>
          <t>Activites de Police</t>
        </is>
      </c>
      <c r="D343" s="36" t="n">
        <v>55</v>
      </c>
      <c r="E343" s="36" t="inlineStr">
        <is>
          <t>N</t>
        </is>
      </c>
      <c r="F343" s="35" t="inlineStr">
        <is>
          <t>RTSinfo est un média public, rapportant les faits de manière neutre sur l'intervention des autorités.</t>
        </is>
      </c>
      <c r="G343" s="36" t="inlineStr">
        <is>
          <t>Non</t>
        </is>
      </c>
      <c r="H343" s="35" t="inlineStr">
        <is>
          <t>Aucun commentaire ne critique le média (biais, ton, sujet).</t>
        </is>
      </c>
      <c r="I343" s="36" t="n">
        <v>0</v>
      </c>
      <c r="J343" s="36" t="n">
        <v>4</v>
      </c>
      <c r="K343" s="74">
        <f>IFERROR(I343/J343,0)</f>
        <v/>
      </c>
      <c r="L343" s="36" t="n">
        <v>9</v>
      </c>
      <c r="M343" s="36" t="n">
        <v>2554</v>
      </c>
      <c r="N343" s="36" t="n">
        <v>0</v>
      </c>
      <c r="O343" s="35" t="inlineStr">
        <is>
          <t>Image_Carrousel</t>
        </is>
      </c>
    </row>
    <row r="344" ht="13.5" customHeight="1" s="109">
      <c r="A344" s="72" t="inlineStr">
        <is>
          <t>https://www.instagram.com/p/DVN1Uv-DFSF/</t>
        </is>
      </c>
      <c r="B344" s="72" t="inlineStr">
        <is>
          <t>Societe &amp; Droits</t>
        </is>
      </c>
      <c r="C344" s="72" t="inlineStr">
        <is>
          <t>Questions de Genre</t>
        </is>
      </c>
      <c r="D344" s="73" t="n">
        <v>35</v>
      </c>
      <c r="E344" s="73" t="inlineStr">
        <is>
          <t>N</t>
        </is>
      </c>
      <c r="F344" s="72" t="inlineStr">
        <is>
          <t>Service public, couverture sociale, position généralement centre-gauche dans le paysage suisse.</t>
        </is>
      </c>
      <c r="G344" s="73" t="inlineStr">
        <is>
          <t>Oui</t>
        </is>
      </c>
      <c r="H344" s="72" t="inlineStr">
        <is>
          <t>Choix du sujet critiqué, estimé comme une mauvaise priorité sociétale.</t>
        </is>
      </c>
      <c r="I344" s="73" t="n">
        <v>1</v>
      </c>
      <c r="J344" s="73" t="n">
        <v>8</v>
      </c>
      <c r="K344" s="74">
        <f>IFERROR(I344/J344,0)</f>
        <v/>
      </c>
      <c r="L344" s="73" t="n">
        <v>21</v>
      </c>
      <c r="M344" s="73" t="n">
        <v>4311</v>
      </c>
      <c r="N344" s="73" t="n">
        <v>0</v>
      </c>
      <c r="O344" s="72" t="inlineStr">
        <is>
          <t>Image_Carrousel</t>
        </is>
      </c>
    </row>
    <row r="345" ht="13.5" customHeight="1" s="109">
      <c r="A345" s="35" t="inlineStr">
        <is>
          <t>https://www.instagram.com/p/DVN_r8DAOWx/</t>
        </is>
      </c>
      <c r="B345" s="35" t="inlineStr">
        <is>
          <t>Societe &amp; Droits</t>
        </is>
      </c>
      <c r="C345" s="35" t="inlineStr">
        <is>
          <t>Questions de Genre</t>
        </is>
      </c>
      <c r="D345" s="36" t="n">
        <v>40</v>
      </c>
      <c r="E345" s="36" t="inlineStr">
        <is>
          <t>G</t>
        </is>
      </c>
      <c r="F345" s="35" t="inlineStr">
        <is>
          <t>Mise en lumière d'une victime de violence, approche axée sur le témoignage.</t>
        </is>
      </c>
      <c r="G345" s="36" t="inlineStr">
        <is>
          <t>Non</t>
        </is>
      </c>
      <c r="H345" s="35" t="n"/>
      <c r="I345" s="36" t="n">
        <v>0</v>
      </c>
      <c r="J345" s="36" t="n">
        <v>3</v>
      </c>
      <c r="K345" s="74">
        <f>IFERROR(I345/J345,0)</f>
        <v/>
      </c>
      <c r="L345" s="36" t="n">
        <v>73</v>
      </c>
      <c r="M345" s="36" t="n">
        <v>3727</v>
      </c>
      <c r="N345" s="36" t="n">
        <v>0</v>
      </c>
      <c r="O345" s="35" t="inlineStr">
        <is>
          <t>Image_Carrousel</t>
        </is>
      </c>
    </row>
    <row r="346" ht="13.5" customHeight="1" s="109">
      <c r="A346" s="72" t="inlineStr">
        <is>
          <t>https://www.instagram.com/p/DVOvx7tjalQ/</t>
        </is>
      </c>
      <c r="B346" s="72" t="inlineStr">
        <is>
          <t>International</t>
        </is>
      </c>
      <c r="C346" s="72" t="inlineStr">
        <is>
          <t>Conflits</t>
        </is>
      </c>
      <c r="D346" s="73" t="n">
        <v>40</v>
      </c>
      <c r="E346" s="73" t="inlineStr">
        <is>
          <t>G</t>
        </is>
      </c>
      <c r="F346" s="72" t="inlineStr">
        <is>
          <t>RTS rapporte exploitation africains par Russie, dénonçant violations droits humains et ruse.</t>
        </is>
      </c>
      <c r="G346" s="73" t="inlineStr">
        <is>
          <t>Oui</t>
        </is>
      </c>
      <c r="H346" s="72" t="inlineStr">
        <is>
          <t>Biais perçu, manque de couverture, imprécision des chiffres.</t>
        </is>
      </c>
      <c r="I346" s="73" t="n">
        <v>3</v>
      </c>
      <c r="J346" s="73" t="n">
        <v>6</v>
      </c>
      <c r="K346" s="74">
        <f>IFERROR(I346/J346,0)</f>
        <v/>
      </c>
      <c r="L346" s="73" t="n">
        <v>67</v>
      </c>
      <c r="M346" s="73" t="n">
        <v>1487</v>
      </c>
      <c r="N346" s="73" t="n">
        <v>26437</v>
      </c>
      <c r="O346" s="72" t="inlineStr">
        <is>
          <t>Video</t>
        </is>
      </c>
    </row>
    <row r="347" ht="13.5" customHeight="1" s="109">
      <c r="A347" s="35" t="inlineStr">
        <is>
          <t>https://www.instagram.com/p/DVLQlUBAQ4U/</t>
        </is>
      </c>
      <c r="B347" s="35" t="inlineStr">
        <is>
          <t>Culture &amp; Loisirs</t>
        </is>
      </c>
      <c r="C347" s="35" t="inlineStr">
        <is>
          <t>Arts</t>
        </is>
      </c>
      <c r="D347" s="36" t="n">
        <v>40</v>
      </c>
      <c r="E347" s="36" t="inlineStr">
        <is>
          <t>N</t>
        </is>
      </c>
      <c r="F347" s="35" t="inlineStr">
        <is>
          <t>RTS met en avant l'évolution et la modernisation d'un art traditionnel et ses bienfaits.</t>
        </is>
      </c>
      <c r="G347" s="36" t="inlineStr">
        <is>
          <t>Non</t>
        </is>
      </c>
      <c r="H347" s="35" t="n"/>
      <c r="I347" s="36" t="n">
        <v>0</v>
      </c>
      <c r="J347" s="36" t="n">
        <v>9</v>
      </c>
      <c r="K347" s="74">
        <f>IFERROR(I347/J347,0)</f>
        <v/>
      </c>
      <c r="L347" s="36" t="n">
        <v>20</v>
      </c>
      <c r="M347" s="36" t="n">
        <v>1768</v>
      </c>
      <c r="N347" s="36" t="n">
        <v>31266</v>
      </c>
      <c r="O347" s="35" t="inlineStr">
        <is>
          <t>Video</t>
        </is>
      </c>
    </row>
    <row r="348" ht="13.5" customHeight="1" s="109">
      <c r="A348" s="72" t="inlineStr">
        <is>
          <t>https://www.instagram.com/p/DVMCYFfjCkv/</t>
        </is>
      </c>
      <c r="B348" s="72" t="inlineStr">
        <is>
          <t>Culture &amp; Loisirs</t>
        </is>
      </c>
      <c r="C348" s="72" t="inlineStr">
        <is>
          <t>Sport</t>
        </is>
      </c>
      <c r="D348" s="73" t="n">
        <v>40</v>
      </c>
      <c r="E348" s="73" t="inlineStr">
        <is>
          <t>N</t>
        </is>
      </c>
      <c r="F348" s="72" t="inlineStr">
        <is>
          <t>Reportage neutre sur événement culturel/sportif, valorisant engagement communautaire et performance.</t>
        </is>
      </c>
      <c r="G348" s="73" t="inlineStr">
        <is>
          <t>Non</t>
        </is>
      </c>
      <c r="H348" s="72" t="n"/>
      <c r="I348" s="73" t="n">
        <v>0</v>
      </c>
      <c r="J348" s="73" t="n">
        <v>10</v>
      </c>
      <c r="K348" s="74">
        <f>IFERROR(I348/J348,0)</f>
        <v/>
      </c>
      <c r="L348" s="73" t="n">
        <v>29</v>
      </c>
      <c r="M348" s="73" t="n">
        <v>3952</v>
      </c>
      <c r="N348" s="73" t="n">
        <v>0</v>
      </c>
      <c r="O348" s="72" t="inlineStr">
        <is>
          <t>Image_Carrousel</t>
        </is>
      </c>
    </row>
    <row r="349" ht="13.5" customHeight="1" s="109">
      <c r="A349" s="35" t="inlineStr">
        <is>
          <t>https://www.instagram.com/p/DVLhs1fDwiN/</t>
        </is>
      </c>
      <c r="B349" s="35" t="inlineStr">
        <is>
          <t>Sante</t>
        </is>
      </c>
      <c r="C349" s="35" t="inlineStr">
        <is>
          <t>Sante publique</t>
        </is>
      </c>
      <c r="D349" s="36" t="n">
        <v>50</v>
      </c>
      <c r="E349" s="36" t="inlineStr">
        <is>
          <t>N</t>
        </is>
      </c>
      <c r="F349" s="35" t="inlineStr">
        <is>
          <t>RTS est un média public suisse réputé pour sa neutralité et son traitement objectif.</t>
        </is>
      </c>
      <c r="G349" s="36" t="inlineStr">
        <is>
          <t>Oui</t>
        </is>
      </c>
      <c r="H349" s="35" t="inlineStr">
        <is>
          <t>Critique le focus de l'article sur les hommes au détriment des femmes.</t>
        </is>
      </c>
      <c r="I349" s="36" t="n">
        <v>1</v>
      </c>
      <c r="J349" s="36" t="n">
        <v>2</v>
      </c>
      <c r="K349" s="74">
        <f>IFERROR(I349/J349,0)</f>
        <v/>
      </c>
      <c r="L349" s="36" t="n">
        <v>437</v>
      </c>
      <c r="M349" s="36" t="n">
        <v>5618</v>
      </c>
      <c r="N349" s="36" t="n">
        <v>0</v>
      </c>
      <c r="O349" s="35" t="inlineStr">
        <is>
          <t>Image_Carrousel</t>
        </is>
      </c>
    </row>
    <row r="350" ht="13.5" customHeight="1" s="109">
      <c r="A350" s="72" t="inlineStr">
        <is>
          <t>https://www.instagram.com/p/DVLokSGID7c/</t>
        </is>
      </c>
      <c r="B350" s="72" t="inlineStr">
        <is>
          <t>Societe &amp; Droits</t>
        </is>
      </c>
      <c r="C350" s="72" t="inlineStr">
        <is>
          <t>Faits de societe</t>
        </is>
      </c>
      <c r="D350" s="73" t="n">
        <v>50</v>
      </c>
      <c r="E350" s="73" t="inlineStr">
        <is>
          <t>N</t>
        </is>
      </c>
      <c r="F350" s="72" t="inlineStr">
        <is>
          <t>RTS, média public, rapporte découverte scientifique factuellement sans biais apparent.</t>
        </is>
      </c>
      <c r="G350" s="73" t="inlineStr">
        <is>
          <t>Oui</t>
        </is>
      </c>
      <c r="H350" s="72" t="inlineStr">
        <is>
          <t>Un commentaire questionne l'authenticité de l'information sur un ton humoristique.</t>
        </is>
      </c>
      <c r="I350" s="73" t="n">
        <v>1</v>
      </c>
      <c r="J350" s="73" t="n">
        <v>6</v>
      </c>
      <c r="K350" s="74">
        <f>IFERROR(I350/J350,0)</f>
        <v/>
      </c>
      <c r="L350" s="73" t="n">
        <v>28</v>
      </c>
      <c r="M350" s="73" t="n">
        <v>8992</v>
      </c>
      <c r="N350" s="73" t="n">
        <v>0</v>
      </c>
      <c r="O350" s="72" t="inlineStr">
        <is>
          <t>Image_Carrousel</t>
        </is>
      </c>
    </row>
    <row r="351" ht="13.5" customHeight="1" s="109">
      <c r="A351" s="35" t="inlineStr">
        <is>
          <t>https://www.instagram.com/p/DVNWibxjNN1/</t>
        </is>
      </c>
      <c r="B351" s="35" t="inlineStr">
        <is>
          <t>Environnement &amp; Nature</t>
        </is>
      </c>
      <c r="C351" s="35" t="inlineStr">
        <is>
          <t>Climat / Ecologie</t>
        </is>
      </c>
      <c r="D351" s="36" t="n">
        <v>45</v>
      </c>
      <c r="E351" s="36" t="inlineStr">
        <is>
          <t>N</t>
        </is>
      </c>
      <c r="F351" s="35" t="inlineStr">
        <is>
          <t>Média public suisse, rapporte une initiative locale d'adaptation climatique sans biais manifeste.</t>
        </is>
      </c>
      <c r="G351" s="36" t="inlineStr">
        <is>
          <t>Non</t>
        </is>
      </c>
      <c r="H351" s="35" t="n"/>
      <c r="I351" s="36" t="n">
        <v>0</v>
      </c>
      <c r="J351" s="36" t="n">
        <v>9</v>
      </c>
      <c r="K351" s="74">
        <f>IFERROR(I351/J351,0)</f>
        <v/>
      </c>
      <c r="L351" s="36" t="n">
        <v>17</v>
      </c>
      <c r="M351" s="36" t="n">
        <v>4708</v>
      </c>
      <c r="N351" s="36" t="n">
        <v>68272</v>
      </c>
      <c r="O351" s="35" t="inlineStr">
        <is>
          <t>Video</t>
        </is>
      </c>
    </row>
    <row r="352" ht="13.5" customHeight="1" s="109">
      <c r="A352" s="72" t="inlineStr">
        <is>
          <t>https://www.instagram.com/p/DVL8fPKDeFW/</t>
        </is>
      </c>
      <c r="B352" s="72" t="inlineStr">
        <is>
          <t>Securite &amp; Justice</t>
        </is>
      </c>
      <c r="C352" s="72" t="inlineStr">
        <is>
          <t>Ordre public</t>
        </is>
      </c>
      <c r="D352" s="73" t="n">
        <v>50</v>
      </c>
      <c r="E352" s="73" t="inlineStr">
        <is>
          <t>N</t>
        </is>
      </c>
      <c r="F352" s="72" t="inlineStr">
        <is>
          <t>RTS est un média de service public, rapport factuel sur un accident routier.</t>
        </is>
      </c>
      <c r="G352" s="73" t="inlineStr">
        <is>
          <t>Non</t>
        </is>
      </c>
      <c r="H352" s="72" t="n"/>
      <c r="I352" s="73" t="n">
        <v>0</v>
      </c>
      <c r="J352" s="73" t="n">
        <v>7</v>
      </c>
      <c r="K352" s="74">
        <f>IFERROR(I352/J352,0)</f>
        <v/>
      </c>
      <c r="L352" s="73" t="n">
        <v>18</v>
      </c>
      <c r="M352" s="73" t="n">
        <v>4265</v>
      </c>
      <c r="N352" s="73" t="n">
        <v>0</v>
      </c>
      <c r="O352" s="72" t="inlineStr">
        <is>
          <t>Image_Carrousel</t>
        </is>
      </c>
    </row>
    <row r="353" ht="13.5" customHeight="1" s="109">
      <c r="A353" s="35" t="inlineStr">
        <is>
          <t>https://www.instagram.com/p/DVMRxhhj3cG/</t>
        </is>
      </c>
      <c r="B353" s="35" t="inlineStr">
        <is>
          <t>Sante</t>
        </is>
      </c>
      <c r="C353" s="35" t="inlineStr">
        <is>
          <t>Sante publique</t>
        </is>
      </c>
      <c r="D353" s="36" t="n">
        <v>45</v>
      </c>
      <c r="E353" s="36" t="inlineStr">
        <is>
          <t>N</t>
        </is>
      </c>
      <c r="F353" s="35" t="inlineStr">
        <is>
          <t>RTS, service public, reportage scientifique factuel sans parti pris apparent.</t>
        </is>
      </c>
      <c r="G353" s="36" t="inlineStr">
        <is>
          <t>Non</t>
        </is>
      </c>
      <c r="H353" s="35" t="n"/>
      <c r="I353" s="36" t="n">
        <v>0</v>
      </c>
      <c r="J353" s="36" t="n">
        <v>8</v>
      </c>
      <c r="K353" s="74">
        <f>IFERROR(I353/J353,0)</f>
        <v/>
      </c>
      <c r="L353" s="36" t="n">
        <v>17</v>
      </c>
      <c r="M353" s="36" t="n">
        <v>3619</v>
      </c>
      <c r="N353" s="36" t="n">
        <v>0</v>
      </c>
      <c r="O353" s="35" t="inlineStr">
        <is>
          <t>Image_Carrousel</t>
        </is>
      </c>
    </row>
    <row r="354" ht="13.5" customHeight="1" s="109">
      <c r="A354" s="72" t="inlineStr">
        <is>
          <t>https://www.instagram.com/p/DVMLBISj5TP/</t>
        </is>
      </c>
      <c r="B354" s="72" t="inlineStr">
        <is>
          <t>Sante</t>
        </is>
      </c>
      <c r="C354" s="72" t="inlineStr">
        <is>
          <t>Sante publique</t>
        </is>
      </c>
      <c r="D354" s="73" t="n">
        <v>35</v>
      </c>
      <c r="E354" s="73" t="inlineStr">
        <is>
          <t>G</t>
        </is>
      </c>
      <c r="F354" s="72" t="inlineStr">
        <is>
          <t>RTS, média public, rapporte science et santé publique avec nuance.</t>
        </is>
      </c>
      <c r="G354" s="73" t="inlineStr">
        <is>
          <t>Non</t>
        </is>
      </c>
      <c r="H354" s="72" t="inlineStr">
        <is>
          <t>Aucun reproche envers le média.</t>
        </is>
      </c>
      <c r="I354" s="73" t="n">
        <v>0</v>
      </c>
      <c r="J354" s="73" t="n">
        <v>8</v>
      </c>
      <c r="K354" s="74">
        <f>IFERROR(I354/J354,0)</f>
        <v/>
      </c>
      <c r="L354" s="73" t="n">
        <v>13</v>
      </c>
      <c r="M354" s="73" t="n">
        <v>2260</v>
      </c>
      <c r="N354" s="73" t="n">
        <v>50405</v>
      </c>
      <c r="O354" s="72" t="inlineStr">
        <is>
          <t>Video</t>
        </is>
      </c>
    </row>
    <row r="355" ht="13.5" customHeight="1" s="109">
      <c r="A355" s="35" t="inlineStr">
        <is>
          <t>https://www.instagram.com/p/DVLa-6ljWMD/</t>
        </is>
      </c>
      <c r="B355" s="35" t="inlineStr">
        <is>
          <t>Environnement &amp; Nature</t>
        </is>
      </c>
      <c r="C355" s="35" t="inlineStr">
        <is>
          <t>Climat / Ecologie</t>
        </is>
      </c>
      <c r="D355" s="36" t="n">
        <v>50</v>
      </c>
      <c r="E355" s="36" t="inlineStr">
        <is>
          <t>N</t>
        </is>
      </c>
      <c r="F355" s="35" t="inlineStr">
        <is>
          <t>Le média rapporte factuellement une innovation sans prendre position ni la commenter.</t>
        </is>
      </c>
      <c r="G355" s="36" t="inlineStr">
        <is>
          <t>Non</t>
        </is>
      </c>
      <c r="H355" s="35" t="n"/>
      <c r="I355" s="36" t="n">
        <v>0</v>
      </c>
      <c r="J355" s="36" t="n">
        <v>8</v>
      </c>
      <c r="K355" s="74">
        <f>IFERROR(I355/J355,0)</f>
        <v/>
      </c>
      <c r="L355" s="36" t="n">
        <v>218</v>
      </c>
      <c r="M355" s="36" t="n">
        <v>4956</v>
      </c>
      <c r="N355" s="36" t="n">
        <v>77759</v>
      </c>
      <c r="O355" s="35" t="inlineStr">
        <is>
          <t>Video</t>
        </is>
      </c>
    </row>
    <row r="356" ht="13.5" customHeight="1" s="109">
      <c r="A356" s="72" t="inlineStr">
        <is>
          <t>https://www.instagram.com/p/DVNWkEXERI_/</t>
        </is>
      </c>
      <c r="B356" s="72" t="inlineStr">
        <is>
          <t>Sante</t>
        </is>
      </c>
      <c r="C356" s="72" t="inlineStr">
        <is>
          <t>Sante publique</t>
        </is>
      </c>
      <c r="D356" s="73" t="n">
        <v>35</v>
      </c>
      <c r="E356" s="73" t="inlineStr">
        <is>
          <t>G</t>
        </is>
      </c>
      <c r="F356" s="72" t="inlineStr">
        <is>
          <t>RTS, service public, aborde coûts et accès aux soins de santé publique.</t>
        </is>
      </c>
      <c r="G356" s="73" t="inlineStr">
        <is>
          <t>Oui</t>
        </is>
      </c>
      <c r="H356" s="72" t="inlineStr">
        <is>
          <t>Un commentaire minimise la charge financière de la contraception.</t>
        </is>
      </c>
      <c r="I356" s="73" t="n">
        <v>1</v>
      </c>
      <c r="J356" s="73" t="n">
        <v>6</v>
      </c>
      <c r="K356" s="74">
        <f>IFERROR(I356/J356,0)</f>
        <v/>
      </c>
      <c r="L356" s="73" t="n">
        <v>52</v>
      </c>
      <c r="M356" s="73" t="n">
        <v>2371</v>
      </c>
      <c r="N356" s="73" t="n">
        <v>51539</v>
      </c>
      <c r="O356" s="72" t="inlineStr">
        <is>
          <t>Video</t>
        </is>
      </c>
    </row>
    <row r="357" ht="13.5" customHeight="1" s="109">
      <c r="A357" s="35" t="inlineStr">
        <is>
          <t>https://www.instagram.com/p/DVL2VwaCM0n/</t>
        </is>
      </c>
      <c r="B357" s="35" t="inlineStr">
        <is>
          <t>Societe &amp; Droits</t>
        </is>
      </c>
      <c r="C357" s="35" t="inlineStr">
        <is>
          <t>Faits de societe</t>
        </is>
      </c>
      <c r="D357" s="36" t="n">
        <v>50</v>
      </c>
      <c r="E357" s="36" t="inlineStr">
        <is>
          <t>N</t>
        </is>
      </c>
      <c r="F357" s="35" t="inlineStr">
        <is>
          <t>Média public suisse, vise neutralité et information factuelle.</t>
        </is>
      </c>
      <c r="G357" s="36" t="inlineStr">
        <is>
          <t>Non</t>
        </is>
      </c>
      <c r="H357" s="35" t="n"/>
      <c r="I357" s="36" t="n">
        <v>0</v>
      </c>
      <c r="J357" s="36" t="n">
        <v>5</v>
      </c>
      <c r="K357" s="74">
        <f>IFERROR(I357/J357,0)</f>
        <v/>
      </c>
      <c r="L357" s="36" t="n">
        <v>29</v>
      </c>
      <c r="M357" s="36" t="n">
        <v>4010</v>
      </c>
      <c r="N357" s="36" t="n">
        <v>0</v>
      </c>
      <c r="O357" s="35" t="inlineStr">
        <is>
          <t>Image_Carrousel</t>
        </is>
      </c>
    </row>
    <row r="358" ht="13.5" customHeight="1" s="109">
      <c r="A358" s="72" t="inlineStr">
        <is>
          <t>https://www.instagram.com/p/DVIr7FeDPUQ/</t>
        </is>
      </c>
      <c r="B358" s="72" t="inlineStr">
        <is>
          <t>International</t>
        </is>
      </c>
      <c r="C358" s="72" t="inlineStr">
        <is>
          <t>Conflits</t>
        </is>
      </c>
      <c r="D358" s="73" t="n">
        <v>45</v>
      </c>
      <c r="E358" s="73" t="inlineStr">
        <is>
          <t>N</t>
        </is>
      </c>
      <c r="F358" s="72" t="inlineStr">
        <is>
          <t>RTS public service, factual reporting, balances losses, focuses on human impact.</t>
        </is>
      </c>
      <c r="G358" s="73" t="inlineStr">
        <is>
          <t>Non</t>
        </is>
      </c>
      <c r="H358" s="72" t="n"/>
      <c r="I358" s="73" t="n">
        <v>0</v>
      </c>
      <c r="J358" s="73" t="n">
        <v>7</v>
      </c>
      <c r="K358" s="74">
        <f>IFERROR(I358/J358,0)</f>
        <v/>
      </c>
      <c r="L358" s="73" t="n">
        <v>49</v>
      </c>
      <c r="M358" s="73" t="n">
        <v>2014</v>
      </c>
      <c r="N358" s="73" t="n">
        <v>0</v>
      </c>
      <c r="O358" s="72" t="inlineStr">
        <is>
          <t>Image_Carrousel</t>
        </is>
      </c>
    </row>
    <row r="359" ht="13.5" customHeight="1" s="109">
      <c r="A359" s="35" t="inlineStr">
        <is>
          <t>https://www.instagram.com/p/DVJtENQFQmG/</t>
        </is>
      </c>
      <c r="B359" s="35" t="inlineStr">
        <is>
          <t>Environnement &amp; Nature</t>
        </is>
      </c>
      <c r="C359" s="35" t="inlineStr">
        <is>
          <t>Energie</t>
        </is>
      </c>
      <c r="D359" s="36" t="n">
        <v>50</v>
      </c>
      <c r="E359" s="36" t="inlineStr">
        <is>
          <t>N</t>
        </is>
      </c>
      <c r="F359" s="35" t="inlineStr">
        <is>
          <t>Média de service public présentant les deux facettes du sujet de manière équilibrée.</t>
        </is>
      </c>
      <c r="G359" s="36" t="inlineStr">
        <is>
          <t>Non</t>
        </is>
      </c>
      <c r="H359" s="35" t="n"/>
      <c r="I359" s="36" t="n">
        <v>0</v>
      </c>
      <c r="J359" s="36" t="n">
        <v>8</v>
      </c>
      <c r="K359" s="74">
        <f>IFERROR(I359/J359,0)</f>
        <v/>
      </c>
      <c r="L359" s="36" t="n">
        <v>21</v>
      </c>
      <c r="M359" s="36" t="n">
        <v>895</v>
      </c>
      <c r="N359" s="36" t="n">
        <v>23240</v>
      </c>
      <c r="O359" s="35" t="inlineStr">
        <is>
          <t>Video</t>
        </is>
      </c>
    </row>
    <row r="360" ht="13.5" customHeight="1" s="109">
      <c r="A360" s="72" t="inlineStr">
        <is>
          <t>https://www.instagram.com/p/DVI88HLjEXx/</t>
        </is>
      </c>
      <c r="B360" s="72" t="inlineStr">
        <is>
          <t>Economie &amp; Travail</t>
        </is>
      </c>
      <c r="C360" s="72" t="inlineStr">
        <is>
          <t>Marche du travail</t>
        </is>
      </c>
      <c r="D360" s="73" t="n">
        <v>35</v>
      </c>
      <c r="E360" s="73" t="inlineStr">
        <is>
          <t>G</t>
        </is>
      </c>
      <c r="F360" s="72" t="inlineStr">
        <is>
          <t>Média public, met l'accent sur les conditions de travail précaires et les droits des employés.</t>
        </is>
      </c>
      <c r="G360" s="73" t="inlineStr">
        <is>
          <t>Non</t>
        </is>
      </c>
      <c r="H360" s="72" t="n"/>
      <c r="I360" s="73" t="n">
        <v>0</v>
      </c>
      <c r="J360" s="73" t="n">
        <v>9</v>
      </c>
      <c r="K360" s="74">
        <f>IFERROR(I360/J360,0)</f>
        <v/>
      </c>
      <c r="L360" s="73" t="n">
        <v>16</v>
      </c>
      <c r="M360" s="73" t="n">
        <v>3250</v>
      </c>
      <c r="N360" s="73" t="n">
        <v>0</v>
      </c>
      <c r="O360" s="72" t="inlineStr">
        <is>
          <t>Image_Carrousel</t>
        </is>
      </c>
    </row>
    <row r="361" ht="13.5" customHeight="1" s="109">
      <c r="A361" s="35" t="inlineStr">
        <is>
          <t>https://www.instagram.com/p/DVLk38DCA8f/</t>
        </is>
      </c>
      <c r="B361" s="35" t="inlineStr">
        <is>
          <t>Politique &amp; Institutions</t>
        </is>
      </c>
      <c r="C361" s="35" t="inlineStr">
        <is>
          <t>Autorites</t>
        </is>
      </c>
      <c r="D361" s="36" t="n">
        <v>45</v>
      </c>
      <c r="E361" s="36" t="inlineStr">
        <is>
          <t>N</t>
        </is>
      </c>
      <c r="F361" s="35" t="inlineStr">
        <is>
          <t>Média public, rapporte mesures gouvernementales d'aide aux victimes, sans prise de position.</t>
        </is>
      </c>
      <c r="G361" s="36" t="inlineStr">
        <is>
          <t>Oui</t>
        </is>
      </c>
      <c r="H361" s="35" t="inlineStr">
        <is>
          <t>Un commentaire questionne le positionnement éditorial de la RTS sur le financement public.</t>
        </is>
      </c>
      <c r="I361" s="36" t="n">
        <v>1</v>
      </c>
      <c r="J361" s="36" t="n">
        <v>6</v>
      </c>
      <c r="K361" s="74">
        <f>IFERROR(I361/J361,0)</f>
        <v/>
      </c>
      <c r="L361" s="36" t="n">
        <v>107</v>
      </c>
      <c r="M361" s="36" t="n">
        <v>5652</v>
      </c>
      <c r="N361" s="36" t="n">
        <v>0</v>
      </c>
      <c r="O361" s="35" t="inlineStr">
        <is>
          <t>Image_Carrousel</t>
        </is>
      </c>
    </row>
    <row r="362" ht="13.5" customHeight="1" s="109">
      <c r="A362" s="72" t="inlineStr">
        <is>
          <t>https://www.instagram.com/p/DVK4PcMjsYk/</t>
        </is>
      </c>
      <c r="B362" s="72" t="inlineStr">
        <is>
          <t>Politique &amp; Institutions</t>
        </is>
      </c>
      <c r="C362" s="72" t="inlineStr">
        <is>
          <t>Autorites</t>
        </is>
      </c>
      <c r="D362" s="73" t="n">
        <v>50</v>
      </c>
      <c r="E362" s="73" t="inlineStr">
        <is>
          <t>N</t>
        </is>
      </c>
      <c r="F362" s="72" t="inlineStr">
        <is>
          <t>Média public suisse, rapporte le discours de Trump avec les critiques, cherchant l'équilibre.</t>
        </is>
      </c>
      <c r="G362" s="73" t="inlineStr">
        <is>
          <t>Non</t>
        </is>
      </c>
      <c r="H362" s="72" t="n"/>
      <c r="I362" s="73" t="n">
        <v>0</v>
      </c>
      <c r="J362" s="73" t="n">
        <v>9</v>
      </c>
      <c r="K362" s="74">
        <f>IFERROR(I362/J362,0)</f>
        <v/>
      </c>
      <c r="L362" s="73" t="n">
        <v>247</v>
      </c>
      <c r="M362" s="73" t="n">
        <v>2019</v>
      </c>
      <c r="N362" s="73" t="n">
        <v>94843</v>
      </c>
      <c r="O362" s="72" t="inlineStr">
        <is>
          <t>Video</t>
        </is>
      </c>
    </row>
    <row r="363" ht="13.5" customHeight="1" s="109">
      <c r="A363" s="35" t="inlineStr">
        <is>
          <t>https://www.instagram.com/p/DVS0p71luML/</t>
        </is>
      </c>
      <c r="B363" s="35" t="inlineStr">
        <is>
          <t>International</t>
        </is>
      </c>
      <c r="C363" s="35" t="inlineStr">
        <is>
          <t>Conflits</t>
        </is>
      </c>
      <c r="D363" s="36" t="n">
        <v>45</v>
      </c>
      <c r="E363" s="36" t="inlineStr">
        <is>
          <t>N</t>
        </is>
      </c>
      <c r="F363" s="35" t="inlineStr">
        <is>
          <t>RTS, diffuseur public suisse, vise neutralité et équilibre factuel sur le conflit.</t>
        </is>
      </c>
      <c r="G363" s="36" t="inlineStr">
        <is>
          <t>Non</t>
        </is>
      </c>
      <c r="H363" s="35" t="inlineStr">
        <is>
          <t>Aucune critique explicite du media trouvée dans les commentaires.</t>
        </is>
      </c>
      <c r="I363" s="36" t="n">
        <v>0</v>
      </c>
      <c r="J363" s="36" t="n">
        <v>5</v>
      </c>
      <c r="K363" s="74">
        <f>IFERROR(I363/J363,0)</f>
        <v/>
      </c>
      <c r="L363" s="36" t="n">
        <v>441</v>
      </c>
      <c r="M363" s="36" t="n">
        <v>5668</v>
      </c>
      <c r="N363" s="36" t="n">
        <v>0</v>
      </c>
      <c r="O363" s="35" t="inlineStr">
        <is>
          <t>Image_Carrousel</t>
        </is>
      </c>
    </row>
    <row r="364" ht="13.5" customHeight="1" s="109">
      <c r="A364" s="72" t="inlineStr">
        <is>
          <t>https://www.instagram.com/p/DVK_cqJjiY2/</t>
        </is>
      </c>
      <c r="B364" s="72" t="inlineStr">
        <is>
          <t>Politique &amp; Institutions</t>
        </is>
      </c>
      <c r="C364" s="72" t="inlineStr">
        <is>
          <t>Autorites</t>
        </is>
      </c>
      <c r="D364" s="73" t="n">
        <v>50</v>
      </c>
      <c r="E364" s="73" t="inlineStr">
        <is>
          <t>N</t>
        </is>
      </c>
      <c r="F364" s="72" t="inlineStr">
        <is>
          <t>Reporting factuel d'une annonce officielle de l'OFROU, ton neutre.</t>
        </is>
      </c>
      <c r="G364" s="73" t="inlineStr">
        <is>
          <t>Non</t>
        </is>
      </c>
      <c r="H364" s="72" t="n"/>
      <c r="I364" s="73" t="n">
        <v>0</v>
      </c>
      <c r="J364" s="73" t="n">
        <v>8</v>
      </c>
      <c r="K364" s="74">
        <f>IFERROR(I364/J364,0)</f>
        <v/>
      </c>
      <c r="L364" s="73" t="n">
        <v>35</v>
      </c>
      <c r="M364" s="73" t="n">
        <v>5694</v>
      </c>
      <c r="N364" s="73" t="n">
        <v>0</v>
      </c>
      <c r="O364" s="72" t="inlineStr">
        <is>
          <t>Image_Carrousel</t>
        </is>
      </c>
    </row>
    <row r="365" ht="13.5" customHeight="1" s="109">
      <c r="A365" s="35" t="inlineStr">
        <is>
          <t>https://www.instagram.com/p/DVHHG3fgmx-/</t>
        </is>
      </c>
      <c r="B365" s="35" t="inlineStr">
        <is>
          <t>Culture &amp; Loisirs</t>
        </is>
      </c>
      <c r="C365" s="35" t="inlineStr">
        <is>
          <t>Sport</t>
        </is>
      </c>
      <c r="D365" s="36" t="n">
        <v>50</v>
      </c>
      <c r="E365" s="36" t="inlineStr">
        <is>
          <t>N</t>
        </is>
      </c>
      <c r="F365" s="35" t="inlineStr">
        <is>
          <t>Reportage factuel et célébration des performances sportives nationales.</t>
        </is>
      </c>
      <c r="G365" s="36" t="inlineStr">
        <is>
          <t>Non</t>
        </is>
      </c>
      <c r="H365" s="35" t="n"/>
      <c r="I365" s="36" t="n">
        <v>0</v>
      </c>
      <c r="J365" s="36" t="n">
        <v>9</v>
      </c>
      <c r="K365" s="74">
        <f>IFERROR(I365/J365,0)</f>
        <v/>
      </c>
      <c r="L365" s="36" t="n">
        <v>9</v>
      </c>
      <c r="M365" s="36" t="n">
        <v>5350</v>
      </c>
      <c r="N365" s="36" t="n">
        <v>0</v>
      </c>
      <c r="O365" s="35" t="inlineStr">
        <is>
          <t>Image_Carrousel</t>
        </is>
      </c>
    </row>
    <row r="366" ht="13.5" customHeight="1" s="109">
      <c r="A366" s="72" t="inlineStr">
        <is>
          <t>https://www.instagram.com/p/DVJYfugkyOn/</t>
        </is>
      </c>
      <c r="B366" s="72" t="inlineStr">
        <is>
          <t>Environnement &amp; Nature</t>
        </is>
      </c>
      <c r="C366" s="72" t="inlineStr">
        <is>
          <t>Climat / Ecologie</t>
        </is>
      </c>
      <c r="D366" s="73" t="n">
        <v>50</v>
      </c>
      <c r="E366" s="73" t="inlineStr">
        <is>
          <t>N</t>
        </is>
      </c>
      <c r="F366" s="72" t="inlineStr">
        <is>
          <t>Média de service public, vise la neutralité et l'information factuelle.</t>
        </is>
      </c>
      <c r="G366" s="73" t="inlineStr">
        <is>
          <t>Non</t>
        </is>
      </c>
      <c r="H366" s="72" t="n"/>
      <c r="I366" s="73" t="n">
        <v>0</v>
      </c>
      <c r="J366" s="73" t="n">
        <v>7</v>
      </c>
      <c r="K366" s="74">
        <f>IFERROR(I366/J366,0)</f>
        <v/>
      </c>
      <c r="L366" s="73" t="n">
        <v>70</v>
      </c>
      <c r="M366" s="73" t="n">
        <v>12960</v>
      </c>
      <c r="N366" s="73" t="n">
        <v>164679</v>
      </c>
      <c r="O366" s="72" t="inlineStr">
        <is>
          <t>Video</t>
        </is>
      </c>
    </row>
    <row r="367" ht="13.5" customHeight="1" s="109">
      <c r="A367" s="35" t="inlineStr">
        <is>
          <t>https://www.instagram.com/p/DVGe-Xbj_Rg/</t>
        </is>
      </c>
      <c r="B367" s="35" t="inlineStr">
        <is>
          <t>International</t>
        </is>
      </c>
      <c r="C367" s="35" t="inlineStr">
        <is>
          <t>Conflits</t>
        </is>
      </c>
      <c r="D367" s="36" t="n">
        <v>45</v>
      </c>
      <c r="E367" s="36" t="inlineStr">
        <is>
          <t>N</t>
        </is>
      </c>
      <c r="F367" s="35" t="inlineStr">
        <is>
          <t>RTSinfo, média public, rapporte des faits sourcés et neutres sur un retrait militaire.</t>
        </is>
      </c>
      <c r="G367" s="36" t="inlineStr">
        <is>
          <t>Non</t>
        </is>
      </c>
      <c r="H367" s="35" t="n"/>
      <c r="I367" s="36" t="n">
        <v>0</v>
      </c>
      <c r="J367" s="36" t="n">
        <v>5</v>
      </c>
      <c r="K367" s="74">
        <f>IFERROR(I367/J367,0)</f>
        <v/>
      </c>
      <c r="L367" s="36" t="n">
        <v>52</v>
      </c>
      <c r="M367" s="36" t="n">
        <v>3189</v>
      </c>
      <c r="N367" s="36" t="n">
        <v>0</v>
      </c>
      <c r="O367" s="35" t="inlineStr">
        <is>
          <t>Image_Carrousel</t>
        </is>
      </c>
    </row>
    <row r="368" ht="13.5" customHeight="1" s="109">
      <c r="A368" s="72" t="inlineStr">
        <is>
          <t>https://www.instagram.com/p/DVJfWhSCrcI/</t>
        </is>
      </c>
      <c r="B368" s="72" t="inlineStr">
        <is>
          <t>Societe &amp; Droits</t>
        </is>
      </c>
      <c r="C368" s="72" t="inlineStr">
        <is>
          <t>Faits de societe</t>
        </is>
      </c>
      <c r="D368" s="73" t="n">
        <v>45</v>
      </c>
      <c r="E368" s="73" t="inlineStr">
        <is>
          <t>N</t>
        </is>
      </c>
      <c r="F368" s="72" t="inlineStr">
        <is>
          <t>RTS, media public, propose une information factuelle sur une étude scientifique.</t>
        </is>
      </c>
      <c r="G368" s="73" t="inlineStr">
        <is>
          <t>Non</t>
        </is>
      </c>
      <c r="H368" s="72" t="n"/>
      <c r="I368" s="73" t="n">
        <v>0</v>
      </c>
      <c r="J368" s="73" t="n">
        <v>7</v>
      </c>
      <c r="K368" s="74">
        <f>IFERROR(I368/J368,0)</f>
        <v/>
      </c>
      <c r="L368" s="73" t="n">
        <v>18</v>
      </c>
      <c r="M368" s="73" t="n">
        <v>3161</v>
      </c>
      <c r="N368" s="73" t="n">
        <v>0</v>
      </c>
      <c r="O368" s="72" t="inlineStr">
        <is>
          <t>Image_Carrousel</t>
        </is>
      </c>
    </row>
    <row r="369" ht="13.5" customHeight="1" s="109">
      <c r="A369" s="35" t="inlineStr">
        <is>
          <t>https://www.instagram.com/p/DVGzl6ZjX72/</t>
        </is>
      </c>
      <c r="B369" s="35" t="inlineStr">
        <is>
          <t>Culture &amp; Loisirs</t>
        </is>
      </c>
      <c r="C369" s="35" t="inlineStr">
        <is>
          <t>Arts</t>
        </is>
      </c>
      <c r="D369" s="36" t="n">
        <v>50</v>
      </c>
      <c r="E369" s="36" t="inlineStr">
        <is>
          <t>N</t>
        </is>
      </c>
      <c r="F369" s="35" t="inlineStr">
        <is>
          <t>RTS Info rapporte les faits et les controverses liées à l'IA sans prendre parti.</t>
        </is>
      </c>
      <c r="G369" s="36" t="inlineStr">
        <is>
          <t>Non</t>
        </is>
      </c>
      <c r="H369" s="35" t="n"/>
      <c r="I369" s="36" t="n">
        <v>0</v>
      </c>
      <c r="J369" s="36" t="n">
        <v>7</v>
      </c>
      <c r="K369" s="74">
        <f>IFERROR(I369/J369,0)</f>
        <v/>
      </c>
      <c r="L369" s="36" t="n">
        <v>31</v>
      </c>
      <c r="M369" s="36" t="n">
        <v>1408</v>
      </c>
      <c r="N369" s="36" t="n">
        <v>0</v>
      </c>
      <c r="O369" s="35" t="inlineStr">
        <is>
          <t>Image_Carrousel</t>
        </is>
      </c>
    </row>
    <row r="370" ht="13.5" customHeight="1" s="109">
      <c r="A370" s="72" t="inlineStr">
        <is>
          <t>https://www.instagram.com/p/DVJNf4zgh6E/</t>
        </is>
      </c>
      <c r="B370" s="72" t="inlineStr">
        <is>
          <t>Culture &amp; Loisirs</t>
        </is>
      </c>
      <c r="C370" s="72" t="inlineStr">
        <is>
          <t>Sport</t>
        </is>
      </c>
      <c r="D370" s="73" t="n">
        <v>55</v>
      </c>
      <c r="E370" s="73" t="inlineStr">
        <is>
          <t>N</t>
        </is>
      </c>
      <c r="F370" s="72" t="inlineStr">
        <is>
          <t>RTS est un media de service public. L'article est factuel mais met en avant la performance nationale.</t>
        </is>
      </c>
      <c r="G370" s="73" t="inlineStr">
        <is>
          <t>Oui</t>
        </is>
      </c>
      <c r="H370" s="72" t="inlineStr">
        <is>
          <t>Critique de la pertinence de la methode statistique employee par le media.</t>
        </is>
      </c>
      <c r="I370" s="73" t="n">
        <v>3</v>
      </c>
      <c r="J370" s="73" t="n">
        <v>6</v>
      </c>
      <c r="K370" s="74">
        <f>IFERROR(I370/J370,0)</f>
        <v/>
      </c>
      <c r="L370" s="73" t="n">
        <v>85</v>
      </c>
      <c r="M370" s="73" t="n">
        <v>11267</v>
      </c>
      <c r="N370" s="73" t="n">
        <v>0</v>
      </c>
      <c r="O370" s="72" t="inlineStr">
        <is>
          <t>Image_Carrousel</t>
        </is>
      </c>
    </row>
    <row r="371" ht="13.5" customHeight="1" s="109">
      <c r="A371" s="35" t="inlineStr">
        <is>
          <t>https://www.instagram.com/p/DVE_WvUApd0/</t>
        </is>
      </c>
      <c r="B371" s="35" t="inlineStr">
        <is>
          <t>Culture &amp; Loisirs</t>
        </is>
      </c>
      <c r="C371" s="35" t="inlineStr">
        <is>
          <t>Sport</t>
        </is>
      </c>
      <c r="D371" s="36" t="n">
        <v>50</v>
      </c>
      <c r="E371" s="36" t="inlineStr">
        <is>
          <t>N</t>
        </is>
      </c>
      <c r="F371" s="35" t="inlineStr">
        <is>
          <t>RTS décrit factuellement la clôture des JO, sans prise de position particulière.</t>
        </is>
      </c>
      <c r="G371" s="36" t="inlineStr">
        <is>
          <t>Non</t>
        </is>
      </c>
      <c r="H371" s="35" t="n"/>
      <c r="I371" s="36" t="n">
        <v>0</v>
      </c>
      <c r="J371" s="36" t="n">
        <v>10</v>
      </c>
      <c r="K371" s="74">
        <f>IFERROR(I371/J371,0)</f>
        <v/>
      </c>
      <c r="L371" s="36" t="n">
        <v>12</v>
      </c>
      <c r="M371" s="36" t="n">
        <v>4716</v>
      </c>
      <c r="N371" s="36" t="n">
        <v>0</v>
      </c>
      <c r="O371" s="35" t="inlineStr">
        <is>
          <t>Image_Carrousel</t>
        </is>
      </c>
    </row>
    <row r="372" ht="13.5" customHeight="1" s="109">
      <c r="A372" s="72" t="inlineStr">
        <is>
          <t>https://www.instagram.com/p/DVI2oJ6iaEB/</t>
        </is>
      </c>
      <c r="B372" s="72" t="inlineStr">
        <is>
          <t>Economie &amp; Travail</t>
        </is>
      </c>
      <c r="C372" s="72" t="inlineStr">
        <is>
          <t>Marche du travail</t>
        </is>
      </c>
      <c r="D372" s="73" t="n">
        <v>45</v>
      </c>
      <c r="E372" s="73" t="inlineStr">
        <is>
          <t>N</t>
        </is>
      </c>
      <c r="F372" s="72" t="inlineStr">
        <is>
          <t>Média public informant sur défaillances systémiques impactant les citoyens, avec une approche factuelle.</t>
        </is>
      </c>
      <c r="G372" s="73" t="inlineStr">
        <is>
          <t>Non</t>
        </is>
      </c>
      <c r="H372" s="72" t="inlineStr">
        <is>
          <t>Aucune critique explicite du média parmi les commentaires.</t>
        </is>
      </c>
      <c r="I372" s="73" t="n">
        <v>0</v>
      </c>
      <c r="J372" s="73" t="n">
        <v>4</v>
      </c>
      <c r="K372" s="74">
        <f>IFERROR(I372/J372,0)</f>
        <v/>
      </c>
      <c r="L372" s="73" t="n">
        <v>91</v>
      </c>
      <c r="M372" s="73" t="n">
        <v>1499</v>
      </c>
      <c r="N372" s="73" t="n">
        <v>0</v>
      </c>
      <c r="O372" s="72" t="inlineStr">
        <is>
          <t>Image_Carrousel</t>
        </is>
      </c>
    </row>
    <row r="373" ht="13.5" customHeight="1" s="109">
      <c r="A373" s="35" t="inlineStr">
        <is>
          <t>https://www.instagram.com/p/DVGk0mjjvwY/</t>
        </is>
      </c>
      <c r="B373" s="35" t="inlineStr">
        <is>
          <t>Environnement &amp; Nature</t>
        </is>
      </c>
      <c r="C373" s="35" t="inlineStr">
        <is>
          <t>Climat / Ecologie</t>
        </is>
      </c>
      <c r="D373" s="36" t="n">
        <v>50</v>
      </c>
      <c r="E373" s="36" t="inlineStr">
        <is>
          <t>N</t>
        </is>
      </c>
      <c r="F373" s="35" t="inlineStr">
        <is>
          <t>RTS est un média de service public, l'article est factuel et objectif.</t>
        </is>
      </c>
      <c r="G373" s="36" t="inlineStr">
        <is>
          <t>Non</t>
        </is>
      </c>
      <c r="H373" s="35" t="n"/>
      <c r="I373" s="36" t="n">
        <v>0</v>
      </c>
      <c r="J373" s="36" t="n">
        <v>6</v>
      </c>
      <c r="K373" s="74">
        <f>IFERROR(I373/J373,0)</f>
        <v/>
      </c>
      <c r="L373" s="36" t="n">
        <v>6</v>
      </c>
      <c r="M373" s="36" t="n">
        <v>5787</v>
      </c>
      <c r="N373" s="36" t="n">
        <v>0</v>
      </c>
      <c r="O373" s="35" t="inlineStr">
        <is>
          <t>Image_Carrousel</t>
        </is>
      </c>
    </row>
    <row r="374" ht="13.5" customHeight="1" s="109">
      <c r="A374" s="72" t="inlineStr">
        <is>
          <t>https://www.instagram.com/p/DVFrfLagg9e/</t>
        </is>
      </c>
      <c r="B374" s="72" t="inlineStr">
        <is>
          <t>Culture &amp; Loisirs</t>
        </is>
      </c>
      <c r="C374" s="72" t="inlineStr">
        <is>
          <t>Sport</t>
        </is>
      </c>
      <c r="D374" s="73" t="n">
        <v>50</v>
      </c>
      <c r="E374" s="73" t="inlineStr">
        <is>
          <t>N</t>
        </is>
      </c>
      <c r="F374" s="72" t="inlineStr">
        <is>
          <t>Rapport factuel positif sur succès sportif national, ton neutre et célébratif.</t>
        </is>
      </c>
      <c r="G374" s="73" t="inlineStr">
        <is>
          <t>Non</t>
        </is>
      </c>
      <c r="H374" s="72" t="inlineStr">
        <is>
          <t>Aucune critique spécifique du média ou de son contenu n'est présente.</t>
        </is>
      </c>
      <c r="I374" s="73" t="n">
        <v>0</v>
      </c>
      <c r="J374" s="73" t="n">
        <v>10</v>
      </c>
      <c r="K374" s="74">
        <f>IFERROR(I374/J374,0)</f>
        <v/>
      </c>
      <c r="L374" s="73" t="n">
        <v>23</v>
      </c>
      <c r="M374" s="73" t="n">
        <v>9646</v>
      </c>
      <c r="N374" s="73" t="n">
        <v>0</v>
      </c>
      <c r="O374" s="72" t="inlineStr">
        <is>
          <t>Image_Carrousel</t>
        </is>
      </c>
    </row>
    <row r="375" ht="13.5" customHeight="1" s="109">
      <c r="A375" s="35" t="inlineStr">
        <is>
          <t>https://www.instagram.com/p/DVIyHXXjTZr/</t>
        </is>
      </c>
      <c r="B375" s="35" t="inlineStr">
        <is>
          <t>International</t>
        </is>
      </c>
      <c r="C375" s="35" t="inlineStr">
        <is>
          <t>Geopolitique</t>
        </is>
      </c>
      <c r="D375" s="36" t="n">
        <v>45</v>
      </c>
      <c r="E375" s="36" t="inlineStr">
        <is>
          <t>N</t>
        </is>
      </c>
      <c r="F375" s="35" t="inlineStr">
        <is>
          <t>Média public suisse, vise l'objectivité, légère tendance centriste.</t>
        </is>
      </c>
      <c r="G375" s="36" t="inlineStr">
        <is>
          <t>Non</t>
        </is>
      </c>
      <c r="H375" s="35" t="inlineStr">
        <is>
          <t>Aucune critique du média détectée.</t>
        </is>
      </c>
      <c r="I375" s="36" t="n">
        <v>0</v>
      </c>
      <c r="J375" s="36" t="n">
        <v>9</v>
      </c>
      <c r="K375" s="74">
        <f>IFERROR(I375/J375,0)</f>
        <v/>
      </c>
      <c r="L375" s="36" t="n">
        <v>60</v>
      </c>
      <c r="M375" s="36" t="n">
        <v>4835</v>
      </c>
      <c r="N375" s="36" t="n">
        <v>0</v>
      </c>
      <c r="O375" s="35" t="inlineStr">
        <is>
          <t>Image_Carrousel</t>
        </is>
      </c>
    </row>
    <row r="376" ht="13.5" customHeight="1" s="109">
      <c r="A376" s="72" t="inlineStr">
        <is>
          <t>https://www.instagram.com/p/DVGHQrZgkPB/</t>
        </is>
      </c>
      <c r="B376" s="72" t="inlineStr">
        <is>
          <t>Culture &amp; Loisirs</t>
        </is>
      </c>
      <c r="C376" s="72" t="inlineStr">
        <is>
          <t>Sport</t>
        </is>
      </c>
      <c r="D376" s="73" t="n">
        <v>50</v>
      </c>
      <c r="E376" s="73" t="inlineStr">
        <is>
          <t>N</t>
        </is>
      </c>
      <c r="F376" s="72" t="inlineStr">
        <is>
          <t>Reportage factuel sur un événement sportif et humain, sans prise de position politique.</t>
        </is>
      </c>
      <c r="G376" s="73" t="inlineStr">
        <is>
          <t>Oui</t>
        </is>
      </c>
      <c r="H376" s="72" t="inlineStr">
        <is>
          <t>Retard de diffusion et coût de la redevance jugés excessifs.</t>
        </is>
      </c>
      <c r="I376" s="73" t="n">
        <v>1</v>
      </c>
      <c r="J376" s="73" t="n">
        <v>9</v>
      </c>
      <c r="K376" s="74">
        <f>IFERROR(I376/J376,0)</f>
        <v/>
      </c>
      <c r="L376" s="73" t="n">
        <v>21</v>
      </c>
      <c r="M376" s="73" t="n">
        <v>5875</v>
      </c>
      <c r="N376" s="73" t="n">
        <v>61735</v>
      </c>
      <c r="O376" s="72" t="inlineStr">
        <is>
          <t>Video</t>
        </is>
      </c>
    </row>
    <row r="377" ht="13.5" customHeight="1" s="109">
      <c r="A377" s="35" t="inlineStr">
        <is>
          <t>https://www.instagram.com/p/DVGRXR6jbOU/</t>
        </is>
      </c>
      <c r="B377" s="35" t="inlineStr">
        <is>
          <t>International</t>
        </is>
      </c>
      <c r="C377" s="35" t="inlineStr">
        <is>
          <t>Conflits</t>
        </is>
      </c>
      <c r="D377" s="36" t="n">
        <v>25</v>
      </c>
      <c r="E377" s="36" t="inlineStr">
        <is>
          <t>G</t>
        </is>
      </c>
      <c r="F377" s="35" t="inlineStr">
        <is>
          <t>Reportage critique des actions russes, accent sur les violations des droits humains des enfants.</t>
        </is>
      </c>
      <c r="G377" s="36" t="inlineStr">
        <is>
          <t>Oui</t>
        </is>
      </c>
      <c r="H377" s="35" t="inlineStr">
        <is>
          <t>Un commentaire suggère un biais ou une omission du média sur le sujet.</t>
        </is>
      </c>
      <c r="I377" s="36" t="n">
        <v>1</v>
      </c>
      <c r="J377" s="36" t="n">
        <v>7</v>
      </c>
      <c r="K377" s="74">
        <f>IFERROR(I377/J377,0)</f>
        <v/>
      </c>
      <c r="L377" s="36" t="n">
        <v>75</v>
      </c>
      <c r="M377" s="36" t="n">
        <v>2730</v>
      </c>
      <c r="N377" s="36" t="n">
        <v>75361</v>
      </c>
      <c r="O377" s="35" t="inlineStr">
        <is>
          <t>Video</t>
        </is>
      </c>
    </row>
    <row r="378" ht="13.5" customHeight="1" s="109">
      <c r="A378" s="72" t="inlineStr">
        <is>
          <t>https://www.instagram.com/p/DVGYHypD68P/</t>
        </is>
      </c>
      <c r="B378" s="72" t="inlineStr">
        <is>
          <t>Economie &amp; Travail</t>
        </is>
      </c>
      <c r="C378" s="72" t="inlineStr">
        <is>
          <t>Consommation</t>
        </is>
      </c>
      <c r="D378" s="73" t="n">
        <v>50</v>
      </c>
      <c r="E378" s="73" t="inlineStr">
        <is>
          <t>N</t>
        </is>
      </c>
      <c r="F378" s="72" t="inlineStr">
        <is>
          <t>Reportage factuel sur un problème consommateur lié à un service public.</t>
        </is>
      </c>
      <c r="G378" s="73" t="inlineStr">
        <is>
          <t>Non</t>
        </is>
      </c>
      <c r="H378" s="72" t="inlineStr">
        <is>
          <t>Aucun reproche direct ou indirect envers le média.</t>
        </is>
      </c>
      <c r="I378" s="73" t="n">
        <v>0</v>
      </c>
      <c r="J378" s="73" t="n">
        <v>7</v>
      </c>
      <c r="K378" s="74">
        <f>IFERROR(I378/J378,0)</f>
        <v/>
      </c>
      <c r="L378" s="73" t="n">
        <v>54</v>
      </c>
      <c r="M378" s="73" t="n">
        <v>4811</v>
      </c>
      <c r="N378" s="73" t="n">
        <v>0</v>
      </c>
      <c r="O378" s="72" t="inlineStr">
        <is>
          <t>Image_Carrousel</t>
        </is>
      </c>
    </row>
    <row r="379" ht="13.5" customHeight="1" s="109">
      <c r="A379" s="35" t="inlineStr">
        <is>
          <t>https://www.instagram.com/p/DVEb_okAtMP/</t>
        </is>
      </c>
      <c r="B379" s="35" t="inlineStr">
        <is>
          <t>Culture &amp; Loisirs</t>
        </is>
      </c>
      <c r="C379" s="35" t="inlineStr">
        <is>
          <t>Sport</t>
        </is>
      </c>
      <c r="D379" s="36" t="n">
        <v>70</v>
      </c>
      <c r="E379" s="36" t="inlineStr">
        <is>
          <t>D</t>
        </is>
      </c>
      <c r="F379" s="35" t="inlineStr">
        <is>
          <t>RTS célèbre athlète suisse et supporter emblématique, ton patriotique fédérateur.</t>
        </is>
      </c>
      <c r="G379" s="36" t="inlineStr">
        <is>
          <t>Non</t>
        </is>
      </c>
      <c r="H379" s="35" t="n"/>
      <c r="I379" s="36" t="n">
        <v>0</v>
      </c>
      <c r="J379" s="36" t="n">
        <v>10</v>
      </c>
      <c r="K379" s="74">
        <f>IFERROR(I379/J379,0)</f>
        <v/>
      </c>
      <c r="L379" s="36" t="n">
        <v>25</v>
      </c>
      <c r="M379" s="36" t="n">
        <v>4330</v>
      </c>
      <c r="N379" s="36" t="n">
        <v>59029</v>
      </c>
      <c r="O379" s="35" t="inlineStr">
        <is>
          <t>Video</t>
        </is>
      </c>
    </row>
    <row r="380" ht="13.5" customHeight="1" s="109">
      <c r="A380" s="72" t="inlineStr">
        <is>
          <t>https://www.instagram.com/p/DVFu55dDYJh/</t>
        </is>
      </c>
      <c r="B380" s="72" t="inlineStr">
        <is>
          <t>Environnement &amp; Nature</t>
        </is>
      </c>
      <c r="C380" s="72" t="inlineStr">
        <is>
          <t>Climat / Ecologie</t>
        </is>
      </c>
      <c r="D380" s="73" t="n">
        <v>40</v>
      </c>
      <c r="E380" s="73" t="inlineStr">
        <is>
          <t>N</t>
        </is>
      </c>
      <c r="F380" s="72" t="inlineStr">
        <is>
          <t>Article factuel sur initiative de décarbonation des transports publics, ton neutre.</t>
        </is>
      </c>
      <c r="G380" s="73" t="inlineStr">
        <is>
          <t>Non</t>
        </is>
      </c>
      <c r="H380" s="72" t="n"/>
      <c r="I380" s="73" t="n">
        <v>0</v>
      </c>
      <c r="J380" s="73" t="n">
        <v>6</v>
      </c>
      <c r="K380" s="74">
        <f>IFERROR(I380/J380,0)</f>
        <v/>
      </c>
      <c r="L380" s="73" t="n">
        <v>14</v>
      </c>
      <c r="M380" s="73" t="n">
        <v>2768</v>
      </c>
      <c r="N380" s="73" t="n">
        <v>0</v>
      </c>
      <c r="O380" s="72" t="inlineStr">
        <is>
          <t>Image_Carrousel</t>
        </is>
      </c>
    </row>
    <row r="381" ht="13.5" customHeight="1" s="109">
      <c r="A381" s="35" t="inlineStr">
        <is>
          <t>https://www.instagram.com/p/DVHBVxWEsF0/</t>
        </is>
      </c>
      <c r="B381" s="35" t="inlineStr">
        <is>
          <t>Sante</t>
        </is>
      </c>
      <c r="C381" s="35" t="inlineStr">
        <is>
          <t>Sante publique</t>
        </is>
      </c>
      <c r="D381" s="36" t="n">
        <v>45</v>
      </c>
      <c r="E381" s="36" t="inlineStr">
        <is>
          <t>N</t>
        </is>
      </c>
      <c r="F381" s="35" t="inlineStr">
        <is>
          <t>Média de service public, généralement centriste, informe sur une étude scientifique institutionnelle.</t>
        </is>
      </c>
      <c r="G381" s="36" t="inlineStr">
        <is>
          <t>Oui</t>
        </is>
      </c>
      <c r="H381" s="35" t="inlineStr">
        <is>
          <t>Questionne la pertinence et la crédibilité des informations diffusées.</t>
        </is>
      </c>
      <c r="I381" s="36" t="n">
        <v>3</v>
      </c>
      <c r="J381" s="36" t="n">
        <v>6</v>
      </c>
      <c r="K381" s="74">
        <f>IFERROR(I381/J381,0)</f>
        <v/>
      </c>
      <c r="L381" s="36" t="n">
        <v>42</v>
      </c>
      <c r="M381" s="36" t="n">
        <v>8357</v>
      </c>
      <c r="N381" s="36" t="n">
        <v>0</v>
      </c>
      <c r="O381" s="35" t="inlineStr">
        <is>
          <t>Image_Carrousel</t>
        </is>
      </c>
    </row>
    <row r="382" ht="13.5" customHeight="1" s="109">
      <c r="A382" s="72" t="inlineStr">
        <is>
          <t>https://www.instagram.com/p/DVIak4zCfIm/</t>
        </is>
      </c>
      <c r="B382" s="72" t="inlineStr">
        <is>
          <t>Sante</t>
        </is>
      </c>
      <c r="C382" s="72" t="inlineStr">
        <is>
          <t>Sante publique</t>
        </is>
      </c>
      <c r="D382" s="73" t="n">
        <v>40</v>
      </c>
      <c r="E382" s="73" t="inlineStr">
        <is>
          <t>N</t>
        </is>
      </c>
      <c r="F382" s="72" t="inlineStr">
        <is>
          <t>Service public, couvre étude scientifique sur inégalité femmes/douleur.</t>
        </is>
      </c>
      <c r="G382" s="73" t="inlineStr">
        <is>
          <t>Oui</t>
        </is>
      </c>
      <c r="H382" s="72" t="inlineStr">
        <is>
          <t>Plusieurs commentaires reprochent l'occultation des rapports sociaux ou le manque de solutions.</t>
        </is>
      </c>
      <c r="I382" s="73" t="n">
        <v>5</v>
      </c>
      <c r="J382" s="73" t="n">
        <v>8</v>
      </c>
      <c r="K382" s="74">
        <f>IFERROR(I382/J382,0)</f>
        <v/>
      </c>
      <c r="L382" s="73" t="n">
        <v>18</v>
      </c>
      <c r="M382" s="73" t="n">
        <v>3299</v>
      </c>
      <c r="N382" s="73" t="n">
        <v>0</v>
      </c>
      <c r="O382" s="72" t="inlineStr">
        <is>
          <t>Image_Carrousel</t>
        </is>
      </c>
    </row>
    <row r="383" ht="13.5" customHeight="1" s="109">
      <c r="A383" s="35" t="inlineStr">
        <is>
          <t>https://www.instagram.com/p/DVFoEhtDeI-/</t>
        </is>
      </c>
      <c r="B383" s="35" t="inlineStr">
        <is>
          <t>Environnement &amp; Nature</t>
        </is>
      </c>
      <c r="C383" s="35" t="inlineStr">
        <is>
          <t>Climat / Ecologie</t>
        </is>
      </c>
      <c r="D383" s="36" t="n">
        <v>50</v>
      </c>
      <c r="E383" s="36" t="inlineStr">
        <is>
          <t>N</t>
        </is>
      </c>
      <c r="F383" s="35" t="inlineStr">
        <is>
          <t>Média public suisse, ton factuel et objectif sur un événement naturel.</t>
        </is>
      </c>
      <c r="G383" s="36" t="inlineStr">
        <is>
          <t>Oui</t>
        </is>
      </c>
      <c r="H383" s="35" t="inlineStr">
        <is>
          <t>Choix du sujet jugé sans importance pour la vie quotidienne.</t>
        </is>
      </c>
      <c r="I383" s="36" t="n">
        <v>1</v>
      </c>
      <c r="J383" s="36" t="n">
        <v>7</v>
      </c>
      <c r="K383" s="74">
        <f>IFERROR(I383/J383,0)</f>
        <v/>
      </c>
      <c r="L383" s="36" t="n">
        <v>15</v>
      </c>
      <c r="M383" s="36" t="n">
        <v>5458</v>
      </c>
      <c r="N383" s="36" t="n">
        <v>0</v>
      </c>
      <c r="O383" s="35" t="inlineStr">
        <is>
          <t>Image_Carrousel</t>
        </is>
      </c>
    </row>
    <row r="384" ht="13.5" customHeight="1" s="109">
      <c r="A384" s="72" t="inlineStr">
        <is>
          <t>https://www.instagram.com/p/DVF10YniCAd/</t>
        </is>
      </c>
      <c r="B384" s="72" t="inlineStr">
        <is>
          <t>Environnement &amp; Nature</t>
        </is>
      </c>
      <c r="C384" s="72" t="inlineStr">
        <is>
          <t>Climat / Ecologie</t>
        </is>
      </c>
      <c r="D384" s="73" t="n">
        <v>45</v>
      </c>
      <c r="E384" s="73" t="inlineStr">
        <is>
          <t>N</t>
        </is>
      </c>
      <c r="F384" s="72" t="inlineStr">
        <is>
          <t>Reportage factuel sur un suivi animalier par média public.</t>
        </is>
      </c>
      <c r="G384" s="73" t="inlineStr">
        <is>
          <t>Non</t>
        </is>
      </c>
      <c r="H384" s="72" t="n"/>
      <c r="I384" s="73" t="n">
        <v>0</v>
      </c>
      <c r="J384" s="73" t="n">
        <v>7</v>
      </c>
      <c r="K384" s="74">
        <f>IFERROR(I384/J384,0)</f>
        <v/>
      </c>
      <c r="L384" s="73" t="n">
        <v>50</v>
      </c>
      <c r="M384" s="73" t="n">
        <v>11850</v>
      </c>
      <c r="N384" s="73" t="n">
        <v>0</v>
      </c>
      <c r="O384" s="72" t="inlineStr">
        <is>
          <t>Image_Carrousel</t>
        </is>
      </c>
    </row>
    <row r="385" ht="13.5" customHeight="1" s="109">
      <c r="A385" s="35" t="inlineStr">
        <is>
          <t>https://www.instagram.com/p/DVIT1SKkcsb/</t>
        </is>
      </c>
      <c r="B385" s="35" t="inlineStr">
        <is>
          <t>Societe &amp; Droits</t>
        </is>
      </c>
      <c r="C385" s="35" t="inlineStr">
        <is>
          <t>Faits de societe</t>
        </is>
      </c>
      <c r="D385" s="36" t="n">
        <v>40</v>
      </c>
      <c r="E385" s="36" t="inlineStr">
        <is>
          <t>N</t>
        </is>
      </c>
      <c r="F385" s="35" t="inlineStr">
        <is>
          <t>Service public, valeurs déontologiques, approche mesurée et éthique.</t>
        </is>
      </c>
      <c r="G385" s="36" t="inlineStr">
        <is>
          <t>Oui</t>
        </is>
      </c>
      <c r="H385" s="35" t="inlineStr">
        <is>
          <t>Couverture jugée excessive; questionnement de la justification.</t>
        </is>
      </c>
      <c r="I385" s="36" t="n">
        <v>2</v>
      </c>
      <c r="J385" s="36" t="n">
        <v>6</v>
      </c>
      <c r="K385" s="74">
        <f>IFERROR(I385/J385,0)</f>
        <v/>
      </c>
      <c r="L385" s="36" t="n">
        <v>103</v>
      </c>
      <c r="M385" s="36" t="n">
        <v>2617</v>
      </c>
      <c r="N385" s="36" t="n">
        <v>50387</v>
      </c>
      <c r="O385" s="35" t="inlineStr">
        <is>
          <t>Video</t>
        </is>
      </c>
    </row>
    <row r="386" ht="13.5" customHeight="1" s="109">
      <c r="A386" s="72" t="inlineStr">
        <is>
          <t>https://www.instagram.com/p/DVIM1y_D--m/</t>
        </is>
      </c>
      <c r="B386" s="72" t="inlineStr">
        <is>
          <t>Politique &amp; Institutions</t>
        </is>
      </c>
      <c r="C386" s="72" t="inlineStr">
        <is>
          <t>Vie politique CH</t>
        </is>
      </c>
      <c r="D386" s="73" t="n">
        <v>50</v>
      </c>
      <c r="E386" s="73" t="inlineStr">
        <is>
          <t>N</t>
        </is>
      </c>
      <c r="F386" s="72" t="inlineStr">
        <is>
          <t>RTSinfo présente un bilan factuel d'une politique publique, avec chiffres et avis d'experts.</t>
        </is>
      </c>
      <c r="G386" s="73" t="inlineStr">
        <is>
          <t>Non</t>
        </is>
      </c>
      <c r="H386" s="72" t="n"/>
      <c r="I386" s="73" t="n">
        <v>0</v>
      </c>
      <c r="J386" s="73" t="n">
        <v>3</v>
      </c>
      <c r="K386" s="74">
        <f>IFERROR(I386/J386,0)</f>
        <v/>
      </c>
      <c r="L386" s="73" t="n">
        <v>126</v>
      </c>
      <c r="M386" s="73" t="n">
        <v>8541</v>
      </c>
      <c r="N386" s="73" t="n">
        <v>0</v>
      </c>
      <c r="O386" s="72" t="inlineStr">
        <is>
          <t>Image_Carrousel</t>
        </is>
      </c>
    </row>
    <row r="387" ht="13.5" customHeight="1" s="109">
      <c r="A387" s="35" t="inlineStr">
        <is>
          <t>https://www.instagram.com/p/DVKxp0akeFN/</t>
        </is>
      </c>
      <c r="B387" s="35" t="inlineStr">
        <is>
          <t>Politique &amp; Institutions</t>
        </is>
      </c>
      <c r="C387" s="35" t="inlineStr">
        <is>
          <t>Votations</t>
        </is>
      </c>
      <c r="D387" s="36" t="n">
        <v>45</v>
      </c>
      <c r="E387" s="36" t="inlineStr">
        <is>
          <t>N</t>
        </is>
      </c>
      <c r="F387" s="35" t="inlineStr">
        <is>
          <t>RTS, média public, rapporte des faits de sondage sans prise de position éditoriale.</t>
        </is>
      </c>
      <c r="G387" s="36" t="inlineStr">
        <is>
          <t>Non</t>
        </is>
      </c>
      <c r="H387" s="35" t="n"/>
      <c r="I387" s="36" t="n">
        <v>0</v>
      </c>
      <c r="J387" s="36" t="n">
        <v>2</v>
      </c>
      <c r="K387" s="74">
        <f>IFERROR(I387/J387,0)</f>
        <v/>
      </c>
      <c r="L387" s="36" t="n">
        <v>162</v>
      </c>
      <c r="M387" s="36" t="n">
        <v>2972</v>
      </c>
      <c r="N387" s="36" t="n">
        <v>0</v>
      </c>
      <c r="O387" s="35" t="inlineStr">
        <is>
          <t>Image_Carrousel</t>
        </is>
      </c>
    </row>
    <row r="388" ht="13.5" customHeight="1" s="109">
      <c r="A388" s="72" t="inlineStr">
        <is>
          <t>https://www.instagram.com/p/DVG6irlAlec/</t>
        </is>
      </c>
      <c r="B388" s="72" t="inlineStr">
        <is>
          <t>Securite &amp; Justice</t>
        </is>
      </c>
      <c r="C388" s="72" t="inlineStr">
        <is>
          <t>Ordre public</t>
        </is>
      </c>
      <c r="D388" s="73" t="n">
        <v>50</v>
      </c>
      <c r="E388" s="73" t="inlineStr">
        <is>
          <t>N</t>
        </is>
      </c>
      <c r="F388" s="72" t="inlineStr">
        <is>
          <t>RTS, service public, rapport factuel sur violence des cartels au Mexique.</t>
        </is>
      </c>
      <c r="G388" s="73" t="inlineStr">
        <is>
          <t>Oui</t>
        </is>
      </c>
      <c r="H388" s="72" t="inlineStr">
        <is>
          <t>Apparence présentateur, valeurs journalisme, précision sur l'opération.</t>
        </is>
      </c>
      <c r="I388" s="73" t="n">
        <v>3</v>
      </c>
      <c r="J388" s="73" t="n">
        <v>4</v>
      </c>
      <c r="K388" s="74">
        <f>IFERROR(I388/J388,0)</f>
        <v/>
      </c>
      <c r="L388" s="73" t="n">
        <v>46</v>
      </c>
      <c r="M388" s="73" t="n">
        <v>1632</v>
      </c>
      <c r="N388" s="73" t="n">
        <v>29100</v>
      </c>
      <c r="O388" s="72" t="inlineStr">
        <is>
          <t>Video</t>
        </is>
      </c>
    </row>
    <row r="389" ht="13.5" customHeight="1" s="109">
      <c r="A389" s="35" t="inlineStr">
        <is>
          <t>https://www.instagram.com/p/DVHIMPWkcnT/</t>
        </is>
      </c>
      <c r="B389" s="35" t="inlineStr">
        <is>
          <t>Economie &amp; Travail</t>
        </is>
      </c>
      <c r="C389" s="35" t="inlineStr">
        <is>
          <t>Marche du travail</t>
        </is>
      </c>
      <c r="D389" s="36" t="n">
        <v>40</v>
      </c>
      <c r="E389" s="36" t="inlineStr">
        <is>
          <t>N</t>
        </is>
      </c>
      <c r="F389" s="35" t="inlineStr">
        <is>
          <t>RTS aborde les inégalités de richesse avec des pistes de rééquilibrage fiscal.</t>
        </is>
      </c>
      <c r="G389" s="36" t="inlineStr">
        <is>
          <t>Non</t>
        </is>
      </c>
      <c r="H389" s="35" t="n"/>
      <c r="I389" s="36" t="n">
        <v>0</v>
      </c>
      <c r="J389" s="36" t="n">
        <v>3</v>
      </c>
      <c r="K389" s="74">
        <f>IFERROR(I389/J389,0)</f>
        <v/>
      </c>
      <c r="L389" s="36" t="n">
        <v>195</v>
      </c>
      <c r="M389" s="36" t="n">
        <v>4523</v>
      </c>
      <c r="N389" s="36" t="n">
        <v>0</v>
      </c>
      <c r="O389" s="35" t="inlineStr">
        <is>
          <t>Image_Carrousel</t>
        </is>
      </c>
    </row>
    <row r="390" ht="13.5" customHeight="1" s="109">
      <c r="A390" s="72" t="inlineStr">
        <is>
          <t>https://www.instagram.com/p/DVDwm5pAryj/</t>
        </is>
      </c>
      <c r="B390" s="72" t="inlineStr">
        <is>
          <t>Culture &amp; Loisirs</t>
        </is>
      </c>
      <c r="C390" s="72" t="inlineStr">
        <is>
          <t>Sport</t>
        </is>
      </c>
      <c r="D390" s="73" t="n">
        <v>55</v>
      </c>
      <c r="E390" s="73" t="inlineStr">
        <is>
          <t>N</t>
        </is>
      </c>
      <c r="F390" s="72" t="inlineStr">
        <is>
          <t>RTS, service public. Rapportage sportif factuel célébrant réussite nationale sans prise de position.</t>
        </is>
      </c>
      <c r="G390" s="73" t="inlineStr">
        <is>
          <t>Non</t>
        </is>
      </c>
      <c r="H390" s="72" t="n"/>
      <c r="I390" s="73" t="n">
        <v>0</v>
      </c>
      <c r="J390" s="73" t="n">
        <v>10</v>
      </c>
      <c r="K390" s="74">
        <f>IFERROR(I390/J390,0)</f>
        <v/>
      </c>
      <c r="L390" s="73" t="n">
        <v>30</v>
      </c>
      <c r="M390" s="73" t="n">
        <v>3158</v>
      </c>
      <c r="N390" s="73" t="n">
        <v>0</v>
      </c>
      <c r="O390" s="72" t="inlineStr">
        <is>
          <t>Image_Carrousel</t>
        </is>
      </c>
    </row>
    <row r="391" ht="13.5" customHeight="1" s="109">
      <c r="A391" s="35" t="inlineStr">
        <is>
          <t>https://www.instagram.com/p/DVD9-WtguiK/</t>
        </is>
      </c>
      <c r="B391" s="35" t="inlineStr">
        <is>
          <t>Culture &amp; Loisirs</t>
        </is>
      </c>
      <c r="C391" s="35" t="inlineStr">
        <is>
          <t>Sport</t>
        </is>
      </c>
      <c r="D391" s="36" t="n">
        <v>50</v>
      </c>
      <c r="E391" s="36" t="inlineStr">
        <is>
          <t>N</t>
        </is>
      </c>
      <c r="F391" s="35" t="inlineStr">
        <is>
          <t>Rapportage factuel et neutre d'un événement sportif, célébrant la performance nationale.</t>
        </is>
      </c>
      <c r="G391" s="36" t="inlineStr">
        <is>
          <t>Non</t>
        </is>
      </c>
      <c r="H391" s="35" t="inlineStr">
        <is>
          <t>Pas de critique du média, de son contenu ou de ses choix éditoriaux.</t>
        </is>
      </c>
      <c r="I391" s="36" t="n">
        <v>0</v>
      </c>
      <c r="J391" s="36" t="n">
        <v>10</v>
      </c>
      <c r="K391" s="74">
        <f>IFERROR(I391/J391,0)</f>
        <v/>
      </c>
      <c r="L391" s="36" t="n">
        <v>35</v>
      </c>
      <c r="M391" s="36" t="n">
        <v>4048</v>
      </c>
      <c r="N391" s="36" t="n">
        <v>0</v>
      </c>
      <c r="O391" s="35" t="inlineStr">
        <is>
          <t>Image_Carrousel</t>
        </is>
      </c>
    </row>
    <row r="392" ht="13.5" customHeight="1" s="109">
      <c r="A392" s="72" t="inlineStr">
        <is>
          <t>https://www.instagram.com/p/DVEVpJWFL96/</t>
        </is>
      </c>
      <c r="B392" s="72" t="inlineStr">
        <is>
          <t>Politique &amp; Institutions</t>
        </is>
      </c>
      <c r="C392" s="72" t="inlineStr">
        <is>
          <t>Autorites</t>
        </is>
      </c>
      <c r="D392" s="73" t="n">
        <v>50</v>
      </c>
      <c r="E392" s="73" t="inlineStr">
        <is>
          <t>N</t>
        </is>
      </c>
      <c r="F392" s="72" t="inlineStr">
        <is>
          <t>Reporting factuel sur une proposition d'aide fédérale, sans prise de position éditoriale.</t>
        </is>
      </c>
      <c r="G392" s="73" t="inlineStr">
        <is>
          <t>Non</t>
        </is>
      </c>
      <c r="H392" s="72" t="inlineStr">
        <is>
          <t>Aucune critique directe du média.</t>
        </is>
      </c>
      <c r="I392" s="73" t="n">
        <v>0</v>
      </c>
      <c r="J392" s="73" t="n">
        <v>5</v>
      </c>
      <c r="K392" s="74">
        <f>IFERROR(I392/J392,0)</f>
        <v/>
      </c>
      <c r="L392" s="73" t="n">
        <v>35</v>
      </c>
      <c r="M392" s="73" t="n">
        <v>2113</v>
      </c>
      <c r="N392" s="73" t="n">
        <v>0</v>
      </c>
      <c r="O392" s="72" t="inlineStr">
        <is>
          <t>Image_Carrousel</t>
        </is>
      </c>
    </row>
    <row r="393" ht="13.5" customHeight="1" s="109">
      <c r="A393" s="35" t="inlineStr">
        <is>
          <t>https://www.instagram.com/p/DVDpJE2AkQL/</t>
        </is>
      </c>
      <c r="B393" s="35" t="inlineStr">
        <is>
          <t>Culture &amp; Loisirs</t>
        </is>
      </c>
      <c r="C393" s="35" t="inlineStr">
        <is>
          <t>Sport</t>
        </is>
      </c>
      <c r="D393" s="36" t="n">
        <v>50</v>
      </c>
      <c r="E393" s="36" t="inlineStr">
        <is>
          <t>N</t>
        </is>
      </c>
      <c r="F393" s="35" t="inlineStr">
        <is>
          <t>Média de service public suisse, information factuelle et neutre.</t>
        </is>
      </c>
      <c r="G393" s="36" t="inlineStr">
        <is>
          <t>Non</t>
        </is>
      </c>
      <c r="H393" s="35" t="inlineStr">
        <is>
          <t>Aucune critique du média dans les commentaires.</t>
        </is>
      </c>
      <c r="I393" s="36" t="n">
        <v>0</v>
      </c>
      <c r="J393" s="36" t="n">
        <v>10</v>
      </c>
      <c r="K393" s="74">
        <f>IFERROR(I393/J393,0)</f>
        <v/>
      </c>
      <c r="L393" s="36" t="n">
        <v>18</v>
      </c>
      <c r="M393" s="36" t="n">
        <v>6253</v>
      </c>
      <c r="N393" s="36" t="n">
        <v>0</v>
      </c>
      <c r="O393" s="35" t="inlineStr">
        <is>
          <t>Image_Carrousel</t>
        </is>
      </c>
    </row>
    <row r="394" ht="13.5" customHeight="1" s="109">
      <c r="A394" s="72" t="inlineStr">
        <is>
          <t>https://www.instagram.com/p/DVDUgJrgsP0/</t>
        </is>
      </c>
      <c r="B394" s="72" t="inlineStr">
        <is>
          <t>Culture &amp; Loisirs</t>
        </is>
      </c>
      <c r="C394" s="72" t="inlineStr">
        <is>
          <t>Sport</t>
        </is>
      </c>
      <c r="D394" s="73" t="n">
        <v>50</v>
      </c>
      <c r="E394" s="73" t="inlineStr">
        <is>
          <t>N</t>
        </is>
      </c>
      <c r="F394" s="72" t="inlineStr">
        <is>
          <t>Reportage sportif factuel sur une performance athlétique record et historique.</t>
        </is>
      </c>
      <c r="G394" s="73" t="inlineStr">
        <is>
          <t>Non</t>
        </is>
      </c>
      <c r="H394" s="72" t="inlineStr">
        <is>
          <t>Aucune critique explicite du média ou de son traitement.</t>
        </is>
      </c>
      <c r="I394" s="73" t="n">
        <v>0</v>
      </c>
      <c r="J394" s="73" t="n">
        <v>7</v>
      </c>
      <c r="K394" s="74">
        <f>IFERROR(I394/J394,0)</f>
        <v/>
      </c>
      <c r="L394" s="73" t="n">
        <v>20</v>
      </c>
      <c r="M394" s="73" t="n">
        <v>7646</v>
      </c>
      <c r="N394" s="73" t="n">
        <v>0</v>
      </c>
      <c r="O394" s="72" t="inlineStr">
        <is>
          <t>Image_Carrousel</t>
        </is>
      </c>
    </row>
    <row r="395" ht="13.5" customHeight="1" s="109">
      <c r="A395" s="35" t="inlineStr">
        <is>
          <t>https://www.instagram.com/p/DVGG8mPDeL2/</t>
        </is>
      </c>
      <c r="B395" s="35" t="inlineStr">
        <is>
          <t>Economie &amp; Travail</t>
        </is>
      </c>
      <c r="C395" s="35" t="inlineStr">
        <is>
          <t>Consommation</t>
        </is>
      </c>
      <c r="D395" s="36" t="n">
        <v>50</v>
      </c>
      <c r="E395" s="36" t="inlineStr">
        <is>
          <t>N</t>
        </is>
      </c>
      <c r="F395" s="35" t="inlineStr">
        <is>
          <t>Service public, présente des faits économiques de manière équilibrée et objective.</t>
        </is>
      </c>
      <c r="G395" s="36" t="inlineStr">
        <is>
          <t>Oui</t>
        </is>
      </c>
      <c r="H395" s="35" t="inlineStr">
        <is>
          <t>Remet en cause la suggestion d'accueillir plus de population.</t>
        </is>
      </c>
      <c r="I395" s="36" t="n">
        <v>2</v>
      </c>
      <c r="J395" s="36" t="n">
        <v>6</v>
      </c>
      <c r="K395" s="74">
        <f>IFERROR(I395/J395,0)</f>
        <v/>
      </c>
      <c r="L395" s="36" t="n">
        <v>214</v>
      </c>
      <c r="M395" s="36" t="n">
        <v>2703</v>
      </c>
      <c r="N395" s="36" t="n">
        <v>0</v>
      </c>
      <c r="O395" s="35" t="inlineStr">
        <is>
          <t>Image_Carrousel</t>
        </is>
      </c>
    </row>
    <row r="396" ht="13.5" customHeight="1" s="109">
      <c r="A396" s="72" t="inlineStr">
        <is>
          <t>https://www.instagram.com/p/DVD5gb1gkl6/</t>
        </is>
      </c>
      <c r="B396" s="72" t="inlineStr">
        <is>
          <t>Culture &amp; Loisirs</t>
        </is>
      </c>
      <c r="C396" s="72" t="inlineStr">
        <is>
          <t>Sport</t>
        </is>
      </c>
      <c r="D396" s="73" t="n">
        <v>50</v>
      </c>
      <c r="E396" s="73" t="inlineStr">
        <is>
          <t>N</t>
        </is>
      </c>
      <c r="F396" s="72" t="inlineStr">
        <is>
          <t>Reportage factuel sur un événement sportif, sans biais apparent ou orientation éditoriale marquée.</t>
        </is>
      </c>
      <c r="G396" s="73" t="inlineStr">
        <is>
          <t>Non</t>
        </is>
      </c>
      <c r="H396" s="72" t="n"/>
      <c r="I396" s="73" t="n">
        <v>0</v>
      </c>
      <c r="J396" s="73" t="n">
        <v>10</v>
      </c>
      <c r="K396" s="74">
        <f>IFERROR(I396/J396,0)</f>
        <v/>
      </c>
      <c r="L396" s="73" t="n">
        <v>21</v>
      </c>
      <c r="M396" s="73" t="n">
        <v>3588</v>
      </c>
      <c r="N396" s="73" t="n">
        <v>0</v>
      </c>
      <c r="O396" s="72" t="inlineStr">
        <is>
          <t>Image_Carrousel</t>
        </is>
      </c>
    </row>
    <row r="397" ht="13.5" customHeight="1" s="109">
      <c r="A397" s="35" t="inlineStr">
        <is>
          <t>https://www.instagram.com/p/DVEcgwxjUGW/</t>
        </is>
      </c>
      <c r="B397" s="35" t="inlineStr">
        <is>
          <t>Economie &amp; Travail</t>
        </is>
      </c>
      <c r="C397" s="35" t="inlineStr">
        <is>
          <t>Consommation</t>
        </is>
      </c>
      <c r="D397" s="36" t="n">
        <v>55</v>
      </c>
      <c r="E397" s="36" t="inlineStr">
        <is>
          <t>N</t>
        </is>
      </c>
      <c r="F397" s="35" t="inlineStr">
        <is>
          <t>Rapportage factuel d'une initiative commerciale sur le gaspillage alimentaire, sans biais apparent.</t>
        </is>
      </c>
      <c r="G397" s="36" t="inlineStr">
        <is>
          <t>Non</t>
        </is>
      </c>
      <c r="H397" s="35" t="inlineStr">
        <is>
          <t>Aucun commentaire ne reproche quoi que ce soit au média.</t>
        </is>
      </c>
      <c r="I397" s="36" t="n">
        <v>0</v>
      </c>
      <c r="J397" s="36" t="n">
        <v>10</v>
      </c>
      <c r="K397" s="74">
        <f>IFERROR(I397/J397,0)</f>
        <v/>
      </c>
      <c r="L397" s="36" t="n">
        <v>105</v>
      </c>
      <c r="M397" s="36" t="n">
        <v>13971</v>
      </c>
      <c r="N397" s="36" t="n">
        <v>0</v>
      </c>
      <c r="O397" s="35" t="inlineStr">
        <is>
          <t>Image_Carrousel</t>
        </is>
      </c>
    </row>
    <row r="398" ht="13.5" customHeight="1" s="109">
      <c r="A398" s="72" t="inlineStr">
        <is>
          <t>https://www.instagram.com/p/DVDiJnvjhWl/</t>
        </is>
      </c>
      <c r="B398" s="72" t="inlineStr">
        <is>
          <t>Environnement &amp; Nature</t>
        </is>
      </c>
      <c r="C398" s="72" t="inlineStr">
        <is>
          <t>Climat / Ecologie</t>
        </is>
      </c>
      <c r="D398" s="73" t="n">
        <v>45</v>
      </c>
      <c r="E398" s="73" t="inlineStr">
        <is>
          <t>N</t>
        </is>
      </c>
      <c r="F398" s="72" t="inlineStr">
        <is>
          <t>Media public, informe factuellement sur le changement climatique et ses impacts économiques.</t>
        </is>
      </c>
      <c r="G398" s="73" t="inlineStr">
        <is>
          <t>Oui</t>
        </is>
      </c>
      <c r="H398" s="72" t="inlineStr">
        <is>
          <t>Accusation de 'lavage de cerveau' et de ton 'blablabla'.</t>
        </is>
      </c>
      <c r="I398" s="73" t="n">
        <v>2</v>
      </c>
      <c r="J398" s="73" t="n">
        <v>5</v>
      </c>
      <c r="K398" s="74">
        <f>IFERROR(I398/J398,0)</f>
        <v/>
      </c>
      <c r="L398" s="73" t="n">
        <v>22</v>
      </c>
      <c r="M398" s="73" t="n">
        <v>1115</v>
      </c>
      <c r="N398" s="73" t="n">
        <v>0</v>
      </c>
      <c r="O398" s="72" t="inlineStr">
        <is>
          <t>Image_Carrousel</t>
        </is>
      </c>
    </row>
    <row r="399" ht="13.5" customHeight="1" s="109">
      <c r="A399" s="35" t="inlineStr">
        <is>
          <t>https://www.instagram.com/p/DVDQ_dvCP63/</t>
        </is>
      </c>
      <c r="B399" s="35" t="inlineStr">
        <is>
          <t>Sante</t>
        </is>
      </c>
      <c r="C399" s="35" t="inlineStr">
        <is>
          <t>Sante publique</t>
        </is>
      </c>
      <c r="D399" s="36" t="n">
        <v>45</v>
      </c>
      <c r="E399" s="36" t="inlineStr">
        <is>
          <t>N</t>
        </is>
      </c>
      <c r="F399" s="35" t="inlineStr">
        <is>
          <t>RTS est un média de service public, visant neutralité et information.</t>
        </is>
      </c>
      <c r="G399" s="36" t="inlineStr">
        <is>
          <t>Oui</t>
        </is>
      </c>
      <c r="H399" s="35" t="inlineStr">
        <is>
          <t>Titre jugé imprécis ou sujet à confusion par l'audience.</t>
        </is>
      </c>
      <c r="I399" s="36" t="n">
        <v>1</v>
      </c>
      <c r="J399" s="36" t="n">
        <v>8</v>
      </c>
      <c r="K399" s="74">
        <f>IFERROR(I399/J399,0)</f>
        <v/>
      </c>
      <c r="L399" s="36" t="n">
        <v>56</v>
      </c>
      <c r="M399" s="36" t="n">
        <v>6990</v>
      </c>
      <c r="N399" s="36" t="n">
        <v>0</v>
      </c>
      <c r="O399" s="35" t="inlineStr">
        <is>
          <t>Image_Carrousel</t>
        </is>
      </c>
    </row>
    <row r="400" ht="13.5" customHeight="1" s="109">
      <c r="A400" s="72" t="inlineStr">
        <is>
          <t>https://www.instagram.com/p/DVGRQ7TjdIO/</t>
        </is>
      </c>
      <c r="B400" s="72" t="inlineStr">
        <is>
          <t>Societe &amp; Droits</t>
        </is>
      </c>
      <c r="C400" s="72" t="inlineStr">
        <is>
          <t>Questions de Genre</t>
        </is>
      </c>
      <c r="D400" s="73" t="n">
        <v>35</v>
      </c>
      <c r="E400" s="73" t="inlineStr">
        <is>
          <t>G</t>
        </is>
      </c>
      <c r="F400" s="72" t="inlineStr">
        <is>
          <t>Le traitement de l'article dénonce explicitement le sexisme et l'indignation qu'il suscite.</t>
        </is>
      </c>
      <c r="G400" s="73" t="inlineStr">
        <is>
          <t>Oui</t>
        </is>
      </c>
      <c r="H400" s="72" t="inlineStr">
        <is>
          <t>Le média est critiqué pour son choix de sujet jugé moins essentiel.</t>
        </is>
      </c>
      <c r="I400" s="73" t="n">
        <v>1</v>
      </c>
      <c r="J400" s="73" t="n">
        <v>3</v>
      </c>
      <c r="K400" s="74">
        <f>IFERROR(I400/J400,0)</f>
        <v/>
      </c>
      <c r="L400" s="73" t="n">
        <v>69</v>
      </c>
      <c r="M400" s="73" t="n">
        <v>1981</v>
      </c>
      <c r="N400" s="73" t="n">
        <v>0</v>
      </c>
      <c r="O400" s="72" t="inlineStr">
        <is>
          <t>Image_Carrousel</t>
        </is>
      </c>
    </row>
    <row r="401" ht="13.5" customHeight="1" s="109">
      <c r="A401" s="35" t="inlineStr">
        <is>
          <t>https://www.instagram.com/p/DVJmSD-jJVT/</t>
        </is>
      </c>
      <c r="B401" s="35" t="inlineStr">
        <is>
          <t>International</t>
        </is>
      </c>
      <c r="C401" s="35" t="inlineStr">
        <is>
          <t>Conflits</t>
        </is>
      </c>
      <c r="D401" s="36" t="n">
        <v>50</v>
      </c>
      <c r="E401" s="36" t="inlineStr">
        <is>
          <t>N</t>
        </is>
      </c>
      <c r="F401" s="35" t="inlineStr">
        <is>
          <t>Média de service public, rapporte les faits et l'impact humain sans prendre parti.</t>
        </is>
      </c>
      <c r="G401" s="36" t="inlineStr">
        <is>
          <t>Oui</t>
        </is>
      </c>
      <c r="H401" s="35" t="inlineStr">
        <is>
          <t>Accusation de biais politique ('gauchistes'), questionnement sur la balance ('côté russe').</t>
        </is>
      </c>
      <c r="I401" s="36" t="n">
        <v>2</v>
      </c>
      <c r="J401" s="36" t="n">
        <v>6</v>
      </c>
      <c r="K401" s="74">
        <f>IFERROR(I401/J401,0)</f>
        <v/>
      </c>
      <c r="L401" s="36" t="n">
        <v>55</v>
      </c>
      <c r="M401" s="36" t="n">
        <v>2749</v>
      </c>
      <c r="N401" s="36" t="n">
        <v>0</v>
      </c>
      <c r="O401" s="35" t="inlineStr">
        <is>
          <t>Image_Carrousel</t>
        </is>
      </c>
    </row>
    <row r="402" ht="13.5" customHeight="1" s="109">
      <c r="A402" s="72" t="inlineStr">
        <is>
          <t>https://www.instagram.com/p/DVBWn9gAnaJ/</t>
        </is>
      </c>
      <c r="B402" s="72" t="inlineStr">
        <is>
          <t>Culture &amp; Loisirs</t>
        </is>
      </c>
      <c r="C402" s="72" t="inlineStr">
        <is>
          <t>Sport</t>
        </is>
      </c>
      <c r="D402" s="73" t="n">
        <v>55</v>
      </c>
      <c r="E402" s="73" t="inlineStr">
        <is>
          <t>N</t>
        </is>
      </c>
      <c r="F402" s="72" t="inlineStr">
        <is>
          <t>Reportage factuel sur une performance sportive nationale aux JO, sans biais politique.</t>
        </is>
      </c>
      <c r="G402" s="73" t="inlineStr">
        <is>
          <t>Non</t>
        </is>
      </c>
      <c r="H402" s="72" t="n"/>
      <c r="I402" s="73" t="n">
        <v>0</v>
      </c>
      <c r="J402" s="73" t="n">
        <v>8</v>
      </c>
      <c r="K402" s="74">
        <f>IFERROR(I402/J402,0)</f>
        <v/>
      </c>
      <c r="L402" s="73" t="n">
        <v>45</v>
      </c>
      <c r="M402" s="73" t="n">
        <v>6902</v>
      </c>
      <c r="N402" s="73" t="n">
        <v>0</v>
      </c>
      <c r="O402" s="72" t="inlineStr">
        <is>
          <t>Image_Carrousel</t>
        </is>
      </c>
    </row>
    <row r="403" ht="13.5" customHeight="1" s="109">
      <c r="A403" s="35" t="inlineStr">
        <is>
          <t>https://www.instagram.com/p/DVDzXwMjR7J/</t>
        </is>
      </c>
      <c r="B403" s="35" t="inlineStr">
        <is>
          <t>International</t>
        </is>
      </c>
      <c r="C403" s="35" t="inlineStr">
        <is>
          <t>Geopolitique</t>
        </is>
      </c>
      <c r="D403" s="36" t="n">
        <v>45</v>
      </c>
      <c r="E403" s="36" t="inlineStr">
        <is>
          <t>N</t>
        </is>
      </c>
      <c r="F403" s="35" t="inlineStr">
        <is>
          <t>Média public, reportage factuel, analyse d'expert, vise la neutralité.</t>
        </is>
      </c>
      <c r="G403" s="36" t="inlineStr">
        <is>
          <t>Oui</t>
        </is>
      </c>
      <c r="H403" s="35" t="inlineStr">
        <is>
          <t>Remise en question du titre, précision lexicale demandée.</t>
        </is>
      </c>
      <c r="I403" s="36" t="n">
        <v>2</v>
      </c>
      <c r="J403" s="36" t="n">
        <v>9</v>
      </c>
      <c r="K403" s="74">
        <f>IFERROR(I403/J403,0)</f>
        <v/>
      </c>
      <c r="L403" s="36" t="n">
        <v>39</v>
      </c>
      <c r="M403" s="36" t="n">
        <v>2376</v>
      </c>
      <c r="N403" s="36" t="n">
        <v>0</v>
      </c>
      <c r="O403" s="35" t="inlineStr">
        <is>
          <t>Image_Carrousel</t>
        </is>
      </c>
    </row>
    <row r="404" ht="13.5" customHeight="1" s="109">
      <c r="A404" s="72" t="inlineStr">
        <is>
          <t>https://www.instagram.com/p/DVEOyRkCDsL/</t>
        </is>
      </c>
      <c r="B404" s="72" t="inlineStr">
        <is>
          <t>Societe &amp; Droits</t>
        </is>
      </c>
      <c r="C404" s="72" t="inlineStr">
        <is>
          <t>Questions de Genre</t>
        </is>
      </c>
      <c r="D404" s="73" t="n">
        <v>40</v>
      </c>
      <c r="E404" s="73" t="inlineStr">
        <is>
          <t>N</t>
        </is>
      </c>
      <c r="F404" s="72" t="inlineStr">
        <is>
          <t>RTS est un media public, s'efforçant de neutralité, perçu centriste-gauche.</t>
        </is>
      </c>
      <c r="G404" s="73" t="inlineStr">
        <is>
          <t>Non</t>
        </is>
      </c>
      <c r="H404" s="72" t="n"/>
      <c r="I404" s="73" t="n">
        <v>0</v>
      </c>
      <c r="J404" s="73" t="n">
        <v>1</v>
      </c>
      <c r="K404" s="74">
        <f>IFERROR(I404/J404,0)</f>
        <v/>
      </c>
      <c r="L404" s="73" t="n">
        <v>229</v>
      </c>
      <c r="M404" s="73" t="n">
        <v>2968</v>
      </c>
      <c r="N404" s="73" t="n">
        <v>0</v>
      </c>
      <c r="O404" s="72" t="inlineStr">
        <is>
          <t>Image_Carrousel</t>
        </is>
      </c>
    </row>
    <row r="405" ht="13.5" customHeight="1" s="109">
      <c r="A405" s="35" t="inlineStr">
        <is>
          <t>https://www.instagram.com/p/DVEFISLDF5j/</t>
        </is>
      </c>
      <c r="B405" s="35" t="inlineStr">
        <is>
          <t>Securite &amp; Justice</t>
        </is>
      </c>
      <c r="C405" s="35" t="inlineStr">
        <is>
          <t>Activites de Police</t>
        </is>
      </c>
      <c r="D405" s="36" t="n">
        <v>45</v>
      </c>
      <c r="E405" s="36" t="inlineStr">
        <is>
          <t>N</t>
        </is>
      </c>
      <c r="F405" s="35" t="inlineStr">
        <is>
          <t>Rapport factuel d'un incident de sécurité impliquant les forces de l'ordre. Média public.</t>
        </is>
      </c>
      <c r="G405" s="36" t="inlineStr">
        <is>
          <t>Non</t>
        </is>
      </c>
      <c r="H405" s="35" t="n"/>
      <c r="I405" s="36" t="n">
        <v>0</v>
      </c>
      <c r="J405" s="36" t="n">
        <v>7</v>
      </c>
      <c r="K405" s="74">
        <f>IFERROR(I405/J405,0)</f>
        <v/>
      </c>
      <c r="L405" s="36" t="n">
        <v>113</v>
      </c>
      <c r="M405" s="36" t="n">
        <v>4796</v>
      </c>
      <c r="N405" s="36" t="n">
        <v>0</v>
      </c>
      <c r="O405" s="35" t="inlineStr">
        <is>
          <t>Image_Carrousel</t>
        </is>
      </c>
    </row>
    <row r="406" ht="13.5" customHeight="1" s="109">
      <c r="A406" s="72" t="inlineStr">
        <is>
          <t>https://www.instagram.com/p/DVBRVSsAsZe/</t>
        </is>
      </c>
      <c r="B406" s="72" t="inlineStr">
        <is>
          <t>Culture &amp; Loisirs</t>
        </is>
      </c>
      <c r="C406" s="72" t="inlineStr">
        <is>
          <t>Sport</t>
        </is>
      </c>
      <c r="D406" s="73" t="n">
        <v>50</v>
      </c>
      <c r="E406" s="73" t="inlineStr">
        <is>
          <t>N</t>
        </is>
      </c>
      <c r="F406" s="72" t="inlineStr">
        <is>
          <t>Rapportage factuel d'un événement sportif sans prise de position politique.</t>
        </is>
      </c>
      <c r="G406" s="73" t="inlineStr">
        <is>
          <t>Non</t>
        </is>
      </c>
      <c r="H406" s="72" t="n"/>
      <c r="I406" s="73" t="n">
        <v>0</v>
      </c>
      <c r="J406" s="73" t="n">
        <v>9</v>
      </c>
      <c r="K406" s="74">
        <f>IFERROR(I406/J406,0)</f>
        <v/>
      </c>
      <c r="L406" s="73" t="n">
        <v>15</v>
      </c>
      <c r="M406" s="73" t="n">
        <v>2834</v>
      </c>
      <c r="N406" s="73" t="n">
        <v>0</v>
      </c>
      <c r="O406" s="72" t="inlineStr">
        <is>
          <t>Image_Carrousel</t>
        </is>
      </c>
    </row>
    <row r="407" ht="13.5" customHeight="1" s="109">
      <c r="A407" s="35" t="inlineStr">
        <is>
          <t>https://www.instagram.com/p/DVEskAGj5F-/</t>
        </is>
      </c>
      <c r="B407" s="35" t="inlineStr">
        <is>
          <t>Securite &amp; Justice</t>
        </is>
      </c>
      <c r="C407" s="35" t="inlineStr">
        <is>
          <t>Ordre public</t>
        </is>
      </c>
      <c r="D407" s="36" t="n">
        <v>50</v>
      </c>
      <c r="E407" s="36" t="inlineStr">
        <is>
          <t>N</t>
        </is>
      </c>
      <c r="F407" s="35" t="inlineStr">
        <is>
          <t>RTS/ATS est une source neutre, reportage factuel sans biais.</t>
        </is>
      </c>
      <c r="G407" s="36" t="inlineStr">
        <is>
          <t>Non</t>
        </is>
      </c>
      <c r="H407" s="35" t="n"/>
      <c r="I407" s="36" t="n">
        <v>0</v>
      </c>
      <c r="J407" s="36" t="n">
        <v>5</v>
      </c>
      <c r="K407" s="74">
        <f>IFERROR(I407/J407,0)</f>
        <v/>
      </c>
      <c r="L407" s="36" t="n">
        <v>91</v>
      </c>
      <c r="M407" s="36" t="n">
        <v>14618</v>
      </c>
      <c r="N407" s="36" t="n">
        <v>0</v>
      </c>
      <c r="O407" s="35" t="inlineStr">
        <is>
          <t>Image_Carrousel</t>
        </is>
      </c>
    </row>
    <row r="408" ht="13.5" customHeight="1" s="109">
      <c r="A408" s="72" t="inlineStr">
        <is>
          <t>https://www.instagram.com/p/DVDsmTcDVfX/</t>
        </is>
      </c>
      <c r="B408" s="72" t="inlineStr">
        <is>
          <t>Economie &amp; Travail</t>
        </is>
      </c>
      <c r="C408" s="72" t="inlineStr">
        <is>
          <t>Agriculture</t>
        </is>
      </c>
      <c r="D408" s="73" t="n">
        <v>40</v>
      </c>
      <c r="E408" s="73" t="inlineStr">
        <is>
          <t>G</t>
        </is>
      </c>
      <c r="F408" s="72" t="inlineStr">
        <is>
          <t>RTS, média public suisse, promeut innovation scientifique pour agriculture durable.</t>
        </is>
      </c>
      <c r="G408" s="73" t="inlineStr">
        <is>
          <t>Oui</t>
        </is>
      </c>
      <c r="H408" s="72" t="inlineStr">
        <is>
          <t>Commentaires remettent en question causes citées et approche préconisée.</t>
        </is>
      </c>
      <c r="I408" s="73" t="n">
        <v>2</v>
      </c>
      <c r="J408" s="73" t="n">
        <v>7</v>
      </c>
      <c r="K408" s="74">
        <f>IFERROR(I408/J408,0)</f>
        <v/>
      </c>
      <c r="L408" s="73" t="n">
        <v>11</v>
      </c>
      <c r="M408" s="73" t="n">
        <v>1810</v>
      </c>
      <c r="N408" s="73" t="n">
        <v>0</v>
      </c>
      <c r="O408" s="72" t="inlineStr">
        <is>
          <t>Image_Carrousel</t>
        </is>
      </c>
    </row>
    <row r="409" ht="13.5" customHeight="1" s="109">
      <c r="A409" s="35" t="inlineStr">
        <is>
          <t>https://www.instagram.com/p/DVB3wTQD40E/</t>
        </is>
      </c>
      <c r="B409" s="35" t="inlineStr">
        <is>
          <t>Economie &amp; Travail</t>
        </is>
      </c>
      <c r="C409" s="35" t="inlineStr">
        <is>
          <t>Consommation</t>
        </is>
      </c>
      <c r="D409" s="36" t="n">
        <v>45</v>
      </c>
      <c r="E409" s="36" t="inlineStr">
        <is>
          <t>N</t>
        </is>
      </c>
      <c r="F409" s="35" t="inlineStr">
        <is>
          <t>RTS est un média de service public, réputé pour son approche factuelle.</t>
        </is>
      </c>
      <c r="G409" s="36" t="inlineStr">
        <is>
          <t>Non</t>
        </is>
      </c>
      <c r="H409" s="35" t="n"/>
      <c r="I409" s="36" t="n">
        <v>0</v>
      </c>
      <c r="J409" s="36" t="n">
        <v>6</v>
      </c>
      <c r="K409" s="74">
        <f>IFERROR(I409/J409,0)</f>
        <v/>
      </c>
      <c r="L409" s="36" t="n">
        <v>443</v>
      </c>
      <c r="M409" s="36" t="n">
        <v>6722</v>
      </c>
      <c r="N409" s="36" t="n">
        <v>0</v>
      </c>
      <c r="O409" s="35" t="inlineStr">
        <is>
          <t>Image_Carrousel</t>
        </is>
      </c>
    </row>
    <row r="410" ht="13.5" customHeight="1" s="109">
      <c r="A410" s="72" t="inlineStr">
        <is>
          <t>https://www.instagram.com/p/DVA9XvPiJ7U/</t>
        </is>
      </c>
      <c r="B410" s="72" t="inlineStr">
        <is>
          <t>Societe &amp; Droits</t>
        </is>
      </c>
      <c r="C410" s="72" t="inlineStr">
        <is>
          <t>Faits de societe</t>
        </is>
      </c>
      <c r="D410" s="73" t="n">
        <v>40</v>
      </c>
      <c r="E410" s="73" t="inlineStr">
        <is>
          <t>G</t>
        </is>
      </c>
      <c r="F410" s="72" t="inlineStr">
        <is>
          <t>RTS est un média public, souvent perçu comme centriste/légèrement G.</t>
        </is>
      </c>
      <c r="G410" s="73" t="inlineStr">
        <is>
          <t>Oui</t>
        </is>
      </c>
      <c r="H410" s="72" t="inlineStr">
        <is>
          <t>Suggestion d'étendre la couverture thématique et géographique.</t>
        </is>
      </c>
      <c r="I410" s="73" t="n">
        <v>1</v>
      </c>
      <c r="J410" s="73" t="n">
        <v>1</v>
      </c>
      <c r="K410" s="74">
        <f>IFERROR(I410/J410,0)</f>
        <v/>
      </c>
      <c r="L410" s="73" t="n">
        <v>83</v>
      </c>
      <c r="M410" s="73" t="n">
        <v>2233</v>
      </c>
      <c r="N410" s="73" t="n">
        <v>0</v>
      </c>
      <c r="O410" s="72" t="inlineStr">
        <is>
          <t>Image_Carrousel</t>
        </is>
      </c>
    </row>
    <row r="411" ht="13.5" customHeight="1" s="109">
      <c r="A411" s="35" t="inlineStr">
        <is>
          <t>https://www.instagram.com/p/DVBqD8nifcP/</t>
        </is>
      </c>
      <c r="B411" s="35" t="inlineStr">
        <is>
          <t>Sante</t>
        </is>
      </c>
      <c r="C411" s="35" t="inlineStr">
        <is>
          <t>Sante publique</t>
        </is>
      </c>
      <c r="D411" s="36" t="n">
        <v>45</v>
      </c>
      <c r="E411" s="36" t="inlineStr">
        <is>
          <t>N</t>
        </is>
      </c>
      <c r="F411" s="35" t="inlineStr">
        <is>
          <t>Reportage positif sur innovation sociale en santé publique par média public.</t>
        </is>
      </c>
      <c r="G411" s="36" t="inlineStr">
        <is>
          <t>Non</t>
        </is>
      </c>
      <c r="H411" s="35" t="n"/>
      <c r="I411" s="36" t="n">
        <v>0</v>
      </c>
      <c r="J411" s="36" t="n">
        <v>9</v>
      </c>
      <c r="K411" s="74">
        <f>IFERROR(I411/J411,0)</f>
        <v/>
      </c>
      <c r="L411" s="36" t="n">
        <v>37</v>
      </c>
      <c r="M411" s="36" t="n">
        <v>3679</v>
      </c>
      <c r="N411" s="36" t="n">
        <v>70259</v>
      </c>
      <c r="O411" s="35" t="inlineStr">
        <is>
          <t>Video</t>
        </is>
      </c>
    </row>
    <row r="412" ht="13.5" customHeight="1" s="109">
      <c r="A412" s="72" t="inlineStr">
        <is>
          <t>https://www.instagram.com/p/DU_MIzngtn-/</t>
        </is>
      </c>
      <c r="B412" s="72" t="inlineStr">
        <is>
          <t>Culture &amp; Loisirs</t>
        </is>
      </c>
      <c r="C412" s="72" t="inlineStr">
        <is>
          <t>Sport</t>
        </is>
      </c>
      <c r="D412" s="73" t="n">
        <v>50</v>
      </c>
      <c r="E412" s="73" t="inlineStr">
        <is>
          <t>N</t>
        </is>
      </c>
      <c r="F412" s="72" t="inlineStr">
        <is>
          <t>Média de service public suisse, généralement neutre sur les actualités sportives.</t>
        </is>
      </c>
      <c r="G412" s="73" t="inlineStr">
        <is>
          <t>Non</t>
        </is>
      </c>
      <c r="H412" s="72" t="inlineStr">
        <is>
          <t>Aucune critique du média dans les commentaires fournis.</t>
        </is>
      </c>
      <c r="I412" s="73" t="n">
        <v>0</v>
      </c>
      <c r="J412" s="73" t="n">
        <v>10</v>
      </c>
      <c r="K412" s="74">
        <f>IFERROR(I412/J412,0)</f>
        <v/>
      </c>
      <c r="L412" s="73" t="n">
        <v>37</v>
      </c>
      <c r="M412" s="73" t="n">
        <v>8997</v>
      </c>
      <c r="N412" s="73" t="n">
        <v>0</v>
      </c>
      <c r="O412" s="72" t="inlineStr">
        <is>
          <t>Image_Carrousel</t>
        </is>
      </c>
    </row>
    <row r="413" ht="13.5" customHeight="1" s="109">
      <c r="A413" s="35" t="inlineStr">
        <is>
          <t>https://www.instagram.com/p/DU_kQjtggwg/</t>
        </is>
      </c>
      <c r="B413" s="35" t="inlineStr">
        <is>
          <t>Culture &amp; Loisirs</t>
        </is>
      </c>
      <c r="C413" s="35" t="inlineStr">
        <is>
          <t>Sport</t>
        </is>
      </c>
      <c r="D413" s="36" t="n">
        <v>50</v>
      </c>
      <c r="E413" s="36" t="inlineStr">
        <is>
          <t>N</t>
        </is>
      </c>
      <c r="F413" s="35" t="inlineStr">
        <is>
          <t>RTS est un média public suisse, couverture neutre d'une actualité sportive nationale.</t>
        </is>
      </c>
      <c r="G413" s="36" t="inlineStr">
        <is>
          <t>Non</t>
        </is>
      </c>
      <c r="H413" s="35" t="n"/>
      <c r="I413" s="36" t="n">
        <v>0</v>
      </c>
      <c r="J413" s="36" t="n">
        <v>9</v>
      </c>
      <c r="K413" s="74">
        <f>IFERROR(I413/J413,0)</f>
        <v/>
      </c>
      <c r="L413" s="36" t="n">
        <v>37</v>
      </c>
      <c r="M413" s="36" t="n">
        <v>4612</v>
      </c>
      <c r="N413" s="36" t="n">
        <v>0</v>
      </c>
      <c r="O413" s="35" t="inlineStr">
        <is>
          <t>Image_Carrousel</t>
        </is>
      </c>
    </row>
    <row r="414" ht="13.5" customHeight="1" s="109">
      <c r="A414" s="72" t="inlineStr">
        <is>
          <t>https://www.instagram.com/p/DVBOlhQgpQG/</t>
        </is>
      </c>
      <c r="B414" s="72" t="inlineStr">
        <is>
          <t>Societe &amp; Droits</t>
        </is>
      </c>
      <c r="C414" s="72" t="inlineStr">
        <is>
          <t>Questions de Genre</t>
        </is>
      </c>
      <c r="D414" s="73" t="n">
        <v>50</v>
      </c>
      <c r="E414" s="73" t="inlineStr">
        <is>
          <t>N</t>
        </is>
      </c>
      <c r="F414" s="72" t="inlineStr">
        <is>
          <t>Média de service public. Article informatif, historique, abordant sujet sociétal sans prise de position.</t>
        </is>
      </c>
      <c r="G414" s="73" t="inlineStr">
        <is>
          <t>Oui</t>
        </is>
      </c>
      <c r="H414" s="72" t="inlineStr">
        <is>
          <t>Minimise l'aspect "torture" du corset et ses effets néfastes sur les femmes.</t>
        </is>
      </c>
      <c r="I414" s="73" t="n">
        <v>1</v>
      </c>
      <c r="J414" s="73" t="n">
        <v>8</v>
      </c>
      <c r="K414" s="74">
        <f>IFERROR(I414/J414,0)</f>
        <v/>
      </c>
      <c r="L414" s="73" t="n">
        <v>11</v>
      </c>
      <c r="M414" s="73" t="n">
        <v>2301</v>
      </c>
      <c r="N414" s="73" t="n">
        <v>0</v>
      </c>
      <c r="O414" s="72" t="inlineStr">
        <is>
          <t>Image_Carrousel</t>
        </is>
      </c>
    </row>
    <row r="415" ht="13.5" customHeight="1" s="109">
      <c r="A415" s="35" t="inlineStr">
        <is>
          <t>https://www.instagram.com/p/DU-sDf9giFX/</t>
        </is>
      </c>
      <c r="B415" s="35" t="inlineStr">
        <is>
          <t>Culture &amp; Loisirs</t>
        </is>
      </c>
      <c r="C415" s="35" t="inlineStr">
        <is>
          <t>Sport</t>
        </is>
      </c>
      <c r="D415" s="36" t="n">
        <v>40</v>
      </c>
      <c r="E415" s="36" t="inlineStr">
        <is>
          <t>N</t>
        </is>
      </c>
      <c r="F415" s="35" t="inlineStr">
        <is>
          <t>Média public, neutre sur sport, perçu légèrement à gauche par certains segments.</t>
        </is>
      </c>
      <c r="G415" s="36" t="inlineStr">
        <is>
          <t>Oui</t>
        </is>
      </c>
      <c r="H415" s="35" t="inlineStr">
        <is>
          <t>Critique de biais éditorial et de manque de soutien par RTS.</t>
        </is>
      </c>
      <c r="I415" s="36" t="n">
        <v>1</v>
      </c>
      <c r="J415" s="36" t="n">
        <v>9</v>
      </c>
      <c r="K415" s="74">
        <f>IFERROR(I415/J415,0)</f>
        <v/>
      </c>
      <c r="L415" s="36" t="n">
        <v>23</v>
      </c>
      <c r="M415" s="36" t="n">
        <v>5001</v>
      </c>
      <c r="N415" s="36" t="n">
        <v>0</v>
      </c>
      <c r="O415" s="35" t="inlineStr">
        <is>
          <t>Image_Carrousel</t>
        </is>
      </c>
    </row>
    <row r="416" ht="13.5" customHeight="1" s="109">
      <c r="A416" s="72" t="inlineStr">
        <is>
          <t>https://www.instagram.com/p/DVBw4-2DxTh/</t>
        </is>
      </c>
      <c r="B416" s="72" t="inlineStr">
        <is>
          <t>Environnement &amp; Nature</t>
        </is>
      </c>
      <c r="C416" s="72" t="inlineStr">
        <is>
          <t>Climat / Ecologie</t>
        </is>
      </c>
      <c r="D416" s="73" t="n">
        <v>40</v>
      </c>
      <c r="E416" s="73" t="inlineStr">
        <is>
          <t>N</t>
        </is>
      </c>
      <c r="F416" s="72" t="inlineStr">
        <is>
          <t>RTS, média de service public, rapporte des faits climatiques et leurs impacts.</t>
        </is>
      </c>
      <c r="G416" s="73" t="inlineStr">
        <is>
          <t>Non</t>
        </is>
      </c>
      <c r="H416" s="72" t="n"/>
      <c r="I416" s="73" t="n">
        <v>0</v>
      </c>
      <c r="J416" s="73" t="n">
        <v>8</v>
      </c>
      <c r="K416" s="74">
        <f>IFERROR(I416/J416,0)</f>
        <v/>
      </c>
      <c r="L416" s="73" t="n">
        <v>45</v>
      </c>
      <c r="M416" s="73" t="n">
        <v>9191</v>
      </c>
      <c r="N416" s="73" t="n">
        <v>0</v>
      </c>
      <c r="O416" s="72" t="inlineStr">
        <is>
          <t>Image_Carrousel</t>
        </is>
      </c>
    </row>
    <row r="417" ht="13.5" customHeight="1" s="109">
      <c r="A417" s="35" t="inlineStr">
        <is>
          <t>https://www.instagram.com/p/DVBVY7zkiBY/</t>
        </is>
      </c>
      <c r="B417" s="35" t="inlineStr">
        <is>
          <t>Securite &amp; Justice</t>
        </is>
      </c>
      <c r="C417" s="35" t="inlineStr">
        <is>
          <t>Ordre public</t>
        </is>
      </c>
      <c r="D417" s="36" t="n">
        <v>50</v>
      </c>
      <c r="E417" s="36" t="inlineStr">
        <is>
          <t>N</t>
        </is>
      </c>
      <c r="F417" s="35" t="inlineStr">
        <is>
          <t>Média de service public, impartialité et information factuelle sur la cybersécurité.</t>
        </is>
      </c>
      <c r="G417" s="36" t="inlineStr">
        <is>
          <t>Non</t>
        </is>
      </c>
      <c r="H417" s="35" t="n"/>
      <c r="I417" s="36" t="n">
        <v>0</v>
      </c>
      <c r="J417" s="36" t="n">
        <v>4</v>
      </c>
      <c r="K417" s="74">
        <f>IFERROR(I417/J417,0)</f>
        <v/>
      </c>
      <c r="L417" s="36" t="n">
        <v>19</v>
      </c>
      <c r="M417" s="36" t="n">
        <v>973</v>
      </c>
      <c r="N417" s="36" t="n">
        <v>0</v>
      </c>
      <c r="O417" s="35" t="inlineStr">
        <is>
          <t>Image_Carrousel</t>
        </is>
      </c>
    </row>
    <row r="418" ht="13.5" customHeight="1" s="109">
      <c r="A418" s="72" t="inlineStr">
        <is>
          <t>https://www.instagram.com/p/DVBzEERl29_/</t>
        </is>
      </c>
      <c r="B418" s="72" t="inlineStr">
        <is>
          <t>International</t>
        </is>
      </c>
      <c r="C418" s="72" t="inlineStr">
        <is>
          <t>Geopolitique</t>
        </is>
      </c>
      <c r="D418" s="73" t="n">
        <v>50</v>
      </c>
      <c r="E418" s="73" t="inlineStr">
        <is>
          <t>N</t>
        </is>
      </c>
      <c r="F418" s="72" t="inlineStr">
        <is>
          <t>Article factuel par media public suisse, sans prise de position claire.</t>
        </is>
      </c>
      <c r="G418" s="73" t="inlineStr">
        <is>
          <t>Oui</t>
        </is>
      </c>
      <c r="H418" s="72" t="inlineStr">
        <is>
          <t>Un commentaire reproche au media d'être "méchant" avec Trump, suggérant un biais.</t>
        </is>
      </c>
      <c r="I418" s="73" t="n">
        <v>1</v>
      </c>
      <c r="J418" s="73" t="n">
        <v>9</v>
      </c>
      <c r="K418" s="74">
        <f>IFERROR(I418/J418,0)</f>
        <v/>
      </c>
      <c r="L418" s="73" t="n">
        <v>128</v>
      </c>
      <c r="M418" s="73" t="n">
        <v>2449</v>
      </c>
      <c r="N418" s="73" t="n">
        <v>0</v>
      </c>
      <c r="O418" s="72" t="inlineStr">
        <is>
          <t>Image_Carrousel</t>
        </is>
      </c>
    </row>
    <row r="419" ht="13.5" customHeight="1" s="109">
      <c r="A419" s="35" t="inlineStr">
        <is>
          <t>https://www.instagram.com/p/DU-WU4ujA2a/</t>
        </is>
      </c>
      <c r="B419" s="35" t="inlineStr">
        <is>
          <t>Securite &amp; Justice</t>
        </is>
      </c>
      <c r="C419" s="35" t="inlineStr">
        <is>
          <t>Ordre public</t>
        </is>
      </c>
      <c r="D419" s="36" t="n">
        <v>50</v>
      </c>
      <c r="E419" s="36" t="inlineStr">
        <is>
          <t>N</t>
        </is>
      </c>
      <c r="F419" s="35" t="inlineStr">
        <is>
          <t>Reportage factuel sur les sanctions sportives et l'ordre public.</t>
        </is>
      </c>
      <c r="G419" s="36" t="inlineStr">
        <is>
          <t>Oui</t>
        </is>
      </c>
      <c r="H419" s="35" t="inlineStr">
        <is>
          <t>Contestation d'information; contenu jugé de faible intérêt.</t>
        </is>
      </c>
      <c r="I419" s="36" t="n">
        <v>2</v>
      </c>
      <c r="J419" s="36" t="n">
        <v>6</v>
      </c>
      <c r="K419" s="74">
        <f>IFERROR(I419/J419,0)</f>
        <v/>
      </c>
      <c r="L419" s="36" t="n">
        <v>98</v>
      </c>
      <c r="M419" s="36" t="n">
        <v>4999</v>
      </c>
      <c r="N419" s="36" t="n">
        <v>59485</v>
      </c>
      <c r="O419" s="35" t="inlineStr">
        <is>
          <t>Video</t>
        </is>
      </c>
    </row>
    <row r="420" ht="13.5" customHeight="1" s="109">
      <c r="A420" s="72" t="inlineStr">
        <is>
          <t>https://www.instagram.com/p/DU_MJUmD16-/</t>
        </is>
      </c>
      <c r="B420" s="72" t="inlineStr">
        <is>
          <t>Environnement &amp; Nature</t>
        </is>
      </c>
      <c r="C420" s="72" t="inlineStr">
        <is>
          <t>Climat / Ecologie</t>
        </is>
      </c>
      <c r="D420" s="73" t="n">
        <v>40</v>
      </c>
      <c r="E420" s="73" t="inlineStr">
        <is>
          <t>G</t>
        </is>
      </c>
      <c r="F420" s="72" t="inlineStr">
        <is>
          <t>RTS est un média public, rapport factuel sur événement climatique sans prise de position.</t>
        </is>
      </c>
      <c r="G420" s="73" t="inlineStr">
        <is>
          <t>Non</t>
        </is>
      </c>
      <c r="H420" s="72" t="n"/>
      <c r="I420" s="73" t="n">
        <v>0</v>
      </c>
      <c r="J420" s="73" t="n">
        <v>7</v>
      </c>
      <c r="K420" s="74">
        <f>IFERROR(I420/J420,0)</f>
        <v/>
      </c>
      <c r="L420" s="73" t="n">
        <v>28</v>
      </c>
      <c r="M420" s="73" t="n">
        <v>1337</v>
      </c>
      <c r="N420" s="73" t="n">
        <v>44025</v>
      </c>
      <c r="O420" s="72" t="inlineStr">
        <is>
          <t>Video</t>
        </is>
      </c>
    </row>
    <row r="421" ht="13.5" customHeight="1" s="109">
      <c r="A421" s="35" t="inlineStr">
        <is>
          <t>https://www.instagram.com/p/DU_fzyHDSru/</t>
        </is>
      </c>
      <c r="B421" s="35" t="inlineStr">
        <is>
          <t>Politique &amp; Institutions</t>
        </is>
      </c>
      <c r="C421" s="35" t="inlineStr">
        <is>
          <t>Autorites</t>
        </is>
      </c>
      <c r="D421" s="36" t="n">
        <v>40</v>
      </c>
      <c r="E421" s="36" t="inlineStr">
        <is>
          <t>G</t>
        </is>
      </c>
      <c r="F421" s="35" t="inlineStr">
        <is>
          <t>Rapportage factuel d'une décision judiciaire défiant le pouvoir exécutif.</t>
        </is>
      </c>
      <c r="G421" s="36" t="inlineStr">
        <is>
          <t>Oui</t>
        </is>
      </c>
      <c r="H421" s="35" t="inlineStr">
        <is>
          <t>Critique de la pertinence du sujet pour l'audience locale.</t>
        </is>
      </c>
      <c r="I421" s="36" t="n">
        <v>1</v>
      </c>
      <c r="J421" s="36" t="n">
        <v>7</v>
      </c>
      <c r="K421" s="74">
        <f>IFERROR(I421/J421,0)</f>
        <v/>
      </c>
      <c r="L421" s="36" t="n">
        <v>301</v>
      </c>
      <c r="M421" s="36" t="n">
        <v>3912</v>
      </c>
      <c r="N421" s="36" t="n">
        <v>151593</v>
      </c>
      <c r="O421" s="35" t="inlineStr">
        <is>
          <t>Video</t>
        </is>
      </c>
    </row>
    <row r="422" ht="13.5" customHeight="1" s="109">
      <c r="A422" s="72" t="inlineStr">
        <is>
          <t>https://www.instagram.com/p/DU-wmADDVGl/</t>
        </is>
      </c>
      <c r="B422" s="72" t="inlineStr">
        <is>
          <t>Culture &amp; Loisirs</t>
        </is>
      </c>
      <c r="C422" s="72" t="inlineStr">
        <is>
          <t>Arts</t>
        </is>
      </c>
      <c r="D422" s="73" t="n">
        <v>50</v>
      </c>
      <c r="E422" s="73" t="inlineStr">
        <is>
          <t>N</t>
        </is>
      </c>
      <c r="F422" s="72" t="inlineStr">
        <is>
          <t>RTS Info présente l'exposition de manière informative, sans biais ni jugement politique.</t>
        </is>
      </c>
      <c r="G422" s="73" t="inlineStr">
        <is>
          <t>Non</t>
        </is>
      </c>
      <c r="H422" s="72" t="n"/>
      <c r="I422" s="73" t="n">
        <v>0</v>
      </c>
      <c r="J422" s="73" t="n">
        <v>5</v>
      </c>
      <c r="K422" s="74">
        <f>IFERROR(I422/J422,0)</f>
        <v/>
      </c>
      <c r="L422" s="73" t="n">
        <v>5</v>
      </c>
      <c r="M422" s="73" t="n">
        <v>2149</v>
      </c>
      <c r="N422" s="73" t="n">
        <v>0</v>
      </c>
      <c r="O422" s="72" t="inlineStr">
        <is>
          <t>Image_Carrousel</t>
        </is>
      </c>
    </row>
    <row r="423" ht="13.5" customHeight="1" s="109">
      <c r="A423" s="35" t="inlineStr">
        <is>
          <t>https://www.instagram.com/p/DU-i32Vjznf/</t>
        </is>
      </c>
      <c r="B423" s="35" t="inlineStr">
        <is>
          <t>Environnement &amp; Nature</t>
        </is>
      </c>
      <c r="C423" s="35" t="inlineStr">
        <is>
          <t>Climat / Ecologie</t>
        </is>
      </c>
      <c r="D423" s="36" t="n">
        <v>50</v>
      </c>
      <c r="E423" s="36" t="inlineStr">
        <is>
          <t>N</t>
        </is>
      </c>
      <c r="F423" s="35" t="inlineStr">
        <is>
          <t>RTS, média public suisse, reportage factuel sur événement climatique et ses impacts.</t>
        </is>
      </c>
      <c r="G423" s="36" t="inlineStr">
        <is>
          <t>Non</t>
        </is>
      </c>
      <c r="H423" s="35" t="n"/>
      <c r="I423" s="36" t="n">
        <v>0</v>
      </c>
      <c r="J423" s="36" t="n">
        <v>1</v>
      </c>
      <c r="K423" s="74">
        <f>IFERROR(I423/J423,0)</f>
        <v/>
      </c>
      <c r="L423" s="36" t="n">
        <v>1</v>
      </c>
      <c r="M423" s="36" t="n">
        <v>3273</v>
      </c>
      <c r="N423" s="36" t="n">
        <v>0</v>
      </c>
      <c r="O423" s="35" t="inlineStr">
        <is>
          <t>Image_Carrousel</t>
        </is>
      </c>
    </row>
    <row r="424" ht="13.5" customHeight="1" s="109">
      <c r="A424" s="72" t="inlineStr">
        <is>
          <t>https://www.instagram.com/p/DU8hwSZgvSS/</t>
        </is>
      </c>
      <c r="B424" s="72" t="inlineStr">
        <is>
          <t>Culture &amp; Loisirs</t>
        </is>
      </c>
      <c r="C424" s="72" t="inlineStr">
        <is>
          <t>Sport</t>
        </is>
      </c>
      <c r="D424" s="73" t="n">
        <v>50</v>
      </c>
      <c r="E424" s="73" t="inlineStr">
        <is>
          <t>N</t>
        </is>
      </c>
      <c r="F424" s="72" t="inlineStr">
        <is>
          <t>RTS rapporte fait sportif national féminin, ton neutre et descriptif.</t>
        </is>
      </c>
      <c r="G424" s="73" t="inlineStr">
        <is>
          <t>Non</t>
        </is>
      </c>
      <c r="H424" s="72" t="n"/>
      <c r="I424" s="73" t="n">
        <v>0</v>
      </c>
      <c r="J424" s="73" t="n">
        <v>9</v>
      </c>
      <c r="K424" s="74">
        <f>IFERROR(I424/J424,0)</f>
        <v/>
      </c>
      <c r="L424" s="73" t="n">
        <v>61</v>
      </c>
      <c r="M424" s="73" t="n">
        <v>5663</v>
      </c>
      <c r="N424" s="73" t="n">
        <v>0</v>
      </c>
      <c r="O424" s="72" t="inlineStr">
        <is>
          <t>Image_Carrousel</t>
        </is>
      </c>
    </row>
    <row r="425" ht="13.5" customHeight="1" s="109">
      <c r="A425" s="35" t="inlineStr">
        <is>
          <t>https://www.instagram.com/p/DVBJrangjFZ/</t>
        </is>
      </c>
      <c r="B425" s="35" t="inlineStr">
        <is>
          <t>Culture &amp; Loisirs</t>
        </is>
      </c>
      <c r="C425" s="35" t="inlineStr">
        <is>
          <t>Sport</t>
        </is>
      </c>
      <c r="D425" s="36" t="n">
        <v>45</v>
      </c>
      <c r="E425" s="36" t="inlineStr">
        <is>
          <t>N</t>
        </is>
      </c>
      <c r="F425" s="35" t="inlineStr">
        <is>
          <t>RTS, service public, couverture neutre d'un événement sportif national.</t>
        </is>
      </c>
      <c r="G425" s="36" t="inlineStr">
        <is>
          <t>Non</t>
        </is>
      </c>
      <c r="H425" s="35" t="inlineStr">
        <is>
          <t>Aucun reproche exprimé par les commentateurs.</t>
        </is>
      </c>
      <c r="I425" s="36" t="n">
        <v>0</v>
      </c>
      <c r="J425" s="36" t="n">
        <v>7</v>
      </c>
      <c r="K425" s="74">
        <f>IFERROR(I425/J425,0)</f>
        <v/>
      </c>
      <c r="L425" s="36" t="n">
        <v>26</v>
      </c>
      <c r="M425" s="36" t="n">
        <v>4341</v>
      </c>
      <c r="N425" s="36" t="n">
        <v>0</v>
      </c>
      <c r="O425" s="35" t="inlineStr">
        <is>
          <t>Image_Carrousel</t>
        </is>
      </c>
    </row>
    <row r="426" ht="13.5" customHeight="1" s="109">
      <c r="A426" s="72" t="inlineStr">
        <is>
          <t>https://www.instagram.com/p/DU-puimDiax/</t>
        </is>
      </c>
      <c r="B426" s="72" t="inlineStr">
        <is>
          <t>Societe &amp; Droits</t>
        </is>
      </c>
      <c r="C426" s="72" t="inlineStr">
        <is>
          <t>Education</t>
        </is>
      </c>
      <c r="D426" s="73" t="n">
        <v>50</v>
      </c>
      <c r="E426" s="73" t="inlineStr">
        <is>
          <t>N</t>
        </is>
      </c>
      <c r="F426" s="72" t="inlineStr">
        <is>
          <t>Média de service public suisse, information factuelle et équilibrée sans orientation politique marquée.</t>
        </is>
      </c>
      <c r="G426" s="73" t="inlineStr">
        <is>
          <t>Oui</t>
        </is>
      </c>
      <c r="H426" s="72" t="inlineStr">
        <is>
          <t>Choix du sujet jugé peu pertinent ou information incomplète/manquant de nuance.</t>
        </is>
      </c>
      <c r="I426" s="73" t="n">
        <v>2</v>
      </c>
      <c r="J426" s="73" t="n">
        <v>4</v>
      </c>
      <c r="K426" s="74">
        <f>IFERROR(I426/J426,0)</f>
        <v/>
      </c>
      <c r="L426" s="73" t="n">
        <v>30</v>
      </c>
      <c r="M426" s="73" t="n">
        <v>2518</v>
      </c>
      <c r="N426" s="73" t="n">
        <v>0</v>
      </c>
      <c r="O426" s="72" t="inlineStr">
        <is>
          <t>Image_Carrousel</t>
        </is>
      </c>
    </row>
    <row r="427" ht="13.5" customHeight="1" s="109">
      <c r="A427" s="35" t="inlineStr">
        <is>
          <t>https://www.instagram.com/p/DU_S_zKExGA/</t>
        </is>
      </c>
      <c r="B427" s="35" t="inlineStr">
        <is>
          <t>Environnement &amp; Nature</t>
        </is>
      </c>
      <c r="C427" s="35" t="inlineStr">
        <is>
          <t>Climat / Ecologie</t>
        </is>
      </c>
      <c r="D427" s="36" t="n">
        <v>45</v>
      </c>
      <c r="E427" s="36" t="inlineStr">
        <is>
          <t>N</t>
        </is>
      </c>
      <c r="F427" s="35" t="inlineStr">
        <is>
          <t>Média public suisse, couverture factuelle et généraliste, légèrement centriste.</t>
        </is>
      </c>
      <c r="G427" s="36" t="inlineStr">
        <is>
          <t>Oui</t>
        </is>
      </c>
      <c r="H427" s="35" t="inlineStr">
        <is>
          <t>Le média instrumentalise l'émotion pour promouvoir un zoo problématique.</t>
        </is>
      </c>
      <c r="I427" s="36" t="n">
        <v>1</v>
      </c>
      <c r="J427" s="36" t="n">
        <v>9</v>
      </c>
      <c r="K427" s="74">
        <f>IFERROR(I427/J427,0)</f>
        <v/>
      </c>
      <c r="L427" s="36" t="n">
        <v>69</v>
      </c>
      <c r="M427" s="36" t="n">
        <v>10725</v>
      </c>
      <c r="N427" s="36" t="n">
        <v>106518</v>
      </c>
      <c r="O427" s="35" t="inlineStr">
        <is>
          <t>Video</t>
        </is>
      </c>
    </row>
    <row r="428" ht="13.5" customHeight="1" s="109">
      <c r="A428" s="72" t="inlineStr">
        <is>
          <t>https://www.instagram.com/p/DU_Bq6IDCKI/</t>
        </is>
      </c>
      <c r="B428" s="72" t="inlineStr">
        <is>
          <t>International</t>
        </is>
      </c>
      <c r="C428" s="72" t="inlineStr">
        <is>
          <t>Geopolitique</t>
        </is>
      </c>
      <c r="D428" s="73" t="n">
        <v>55</v>
      </c>
      <c r="E428" s="73" t="inlineStr">
        <is>
          <t>N</t>
        </is>
      </c>
      <c r="F428" s="72" t="inlineStr">
        <is>
          <t>Média de service public suisse, réputé pour son approche factuelle et équilibrée.</t>
        </is>
      </c>
      <c r="G428" s="73" t="inlineStr">
        <is>
          <t>Oui</t>
        </is>
      </c>
      <c r="H428" s="72" t="inlineStr">
        <is>
          <t>Demande de détails supplémentaires sur les conséquences internationales des annulations.</t>
        </is>
      </c>
      <c r="I428" s="73" t="n">
        <v>1</v>
      </c>
      <c r="J428" s="73" t="n">
        <v>7</v>
      </c>
      <c r="K428" s="74">
        <f>IFERROR(I428/J428,0)</f>
        <v/>
      </c>
      <c r="L428" s="73" t="n">
        <v>36</v>
      </c>
      <c r="M428" s="73" t="n">
        <v>3087</v>
      </c>
      <c r="N428" s="73" t="n">
        <v>0</v>
      </c>
      <c r="O428" s="72" t="inlineStr">
        <is>
          <t>Image_Carrousel</t>
        </is>
      </c>
    </row>
    <row r="429" ht="13.5" customHeight="1" s="109">
      <c r="A429" s="35" t="inlineStr">
        <is>
          <t>https://www.instagram.com/p/DU-i306jKiZ/</t>
        </is>
      </c>
      <c r="B429" s="35" t="inlineStr">
        <is>
          <t>Politique &amp; Institutions</t>
        </is>
      </c>
      <c r="C429" s="35" t="inlineStr">
        <is>
          <t>Vie politique CH</t>
        </is>
      </c>
      <c r="D429" s="36" t="n">
        <v>55</v>
      </c>
      <c r="E429" s="36" t="inlineStr">
        <is>
          <t>N</t>
        </is>
      </c>
      <c r="F429" s="35" t="inlineStr">
        <is>
          <t>Analyse systémique de la polarisation politique suisse, cherchant l'équilibre.</t>
        </is>
      </c>
      <c r="G429" s="36" t="inlineStr">
        <is>
          <t>Oui</t>
        </is>
      </c>
      <c r="H429" s="35" t="inlineStr">
        <is>
          <t>Correction factuelle concernant un parti politique mentionné.</t>
        </is>
      </c>
      <c r="I429" s="36" t="n">
        <v>1</v>
      </c>
      <c r="J429" s="36" t="n">
        <v>5</v>
      </c>
      <c r="K429" s="74">
        <f>IFERROR(I429/J429,0)</f>
        <v/>
      </c>
      <c r="L429" s="36" t="n">
        <v>127</v>
      </c>
      <c r="M429" s="36" t="n">
        <v>2886</v>
      </c>
      <c r="N429" s="36" t="n">
        <v>0</v>
      </c>
      <c r="O429" s="35" t="inlineStr">
        <is>
          <t>Image_Carrousel</t>
        </is>
      </c>
    </row>
    <row r="430" ht="13.5" customHeight="1" s="109">
      <c r="A430" s="72" t="inlineStr">
        <is>
          <t>https://www.instagram.com/p/DU8Lq7PjDHp/</t>
        </is>
      </c>
      <c r="B430" s="72" t="inlineStr">
        <is>
          <t>Culture &amp; Loisirs</t>
        </is>
      </c>
      <c r="C430" s="72" t="inlineStr">
        <is>
          <t>Sport</t>
        </is>
      </c>
      <c r="D430" s="73" t="n">
        <v>50</v>
      </c>
      <c r="E430" s="73" t="inlineStr">
        <is>
          <t>N</t>
        </is>
      </c>
      <c r="F430" s="72" t="inlineStr">
        <is>
          <t>Reportage factuel sportif sur un événement aux JO, sans biais politique.</t>
        </is>
      </c>
      <c r="G430" s="73" t="inlineStr">
        <is>
          <t>Oui</t>
        </is>
      </c>
      <c r="H430" s="72" t="inlineStr">
        <is>
          <t>Critique de la ligne éditoriale ou du traitement de sujets sensibles (RTS).</t>
        </is>
      </c>
      <c r="I430" s="73" t="n">
        <v>2</v>
      </c>
      <c r="J430" s="73" t="n">
        <v>9</v>
      </c>
      <c r="K430" s="74">
        <f>IFERROR(I430/J430,0)</f>
        <v/>
      </c>
      <c r="L430" s="73" t="n">
        <v>125</v>
      </c>
      <c r="M430" s="73" t="n">
        <v>11678</v>
      </c>
      <c r="N430" s="73" t="n">
        <v>0</v>
      </c>
      <c r="O430" s="72" t="inlineStr">
        <is>
          <t>Image_Carrousel</t>
        </is>
      </c>
    </row>
    <row r="431" ht="13.5" customHeight="1" s="109">
      <c r="A431" s="35" t="inlineStr">
        <is>
          <t>https://www.instagram.com/p/DU6ezszAkaI/</t>
        </is>
      </c>
      <c r="B431" s="35" t="inlineStr">
        <is>
          <t>Culture &amp; Loisirs</t>
        </is>
      </c>
      <c r="C431" s="35" t="inlineStr">
        <is>
          <t>Sport</t>
        </is>
      </c>
      <c r="D431" s="36" t="n">
        <v>45</v>
      </c>
      <c r="E431" s="36" t="inlineStr">
        <is>
          <t>N</t>
        </is>
      </c>
      <c r="F431" s="35" t="inlineStr">
        <is>
          <t>Médias publics suisses, réputés neutres mais parfois perçus légèrement à gauche.</t>
        </is>
      </c>
      <c r="G431" s="36" t="inlineStr">
        <is>
          <t>Oui</t>
        </is>
      </c>
      <c r="H431" s="35" t="inlineStr">
        <is>
          <t>Remet en cause le journalisme général du média sur des sujets sensibles.</t>
        </is>
      </c>
      <c r="I431" s="36" t="n">
        <v>1</v>
      </c>
      <c r="J431" s="36" t="n">
        <v>10</v>
      </c>
      <c r="K431" s="74">
        <f>IFERROR(I431/J431,0)</f>
        <v/>
      </c>
      <c r="L431" s="36" t="n">
        <v>15</v>
      </c>
      <c r="M431" s="36" t="n">
        <v>3515</v>
      </c>
      <c r="N431" s="36" t="n">
        <v>0</v>
      </c>
      <c r="O431" s="35" t="inlineStr">
        <is>
          <t>Image_Carrousel</t>
        </is>
      </c>
    </row>
    <row r="432" ht="13.5" customHeight="1" s="109">
      <c r="A432" s="72" t="inlineStr">
        <is>
          <t>https://www.instagram.com/p/DU-HZskjm9N/</t>
        </is>
      </c>
      <c r="B432" s="72" t="inlineStr">
        <is>
          <t>Economie &amp; Travail</t>
        </is>
      </c>
      <c r="C432" s="72" t="inlineStr">
        <is>
          <t>Marche du travail</t>
        </is>
      </c>
      <c r="D432" s="73" t="n">
        <v>50</v>
      </c>
      <c r="E432" s="73" t="inlineStr">
        <is>
          <t>N</t>
        </is>
      </c>
      <c r="F432" s="72" t="inlineStr">
        <is>
          <t>RTSinfo publie faits économiques de Nestlé, sans ton éditorial ni prise de position.</t>
        </is>
      </c>
      <c r="G432" s="73" t="inlineStr">
        <is>
          <t>Non</t>
        </is>
      </c>
      <c r="H432" s="72" t="n"/>
      <c r="I432" s="73" t="n">
        <v>0</v>
      </c>
      <c r="J432" s="73" t="n">
        <v>9</v>
      </c>
      <c r="K432" s="74">
        <f>IFERROR(I432/J432,0)</f>
        <v/>
      </c>
      <c r="L432" s="73" t="n">
        <v>41</v>
      </c>
      <c r="M432" s="73" t="n">
        <v>1315</v>
      </c>
      <c r="N432" s="73" t="n">
        <v>0</v>
      </c>
      <c r="O432" s="72" t="inlineStr">
        <is>
          <t>Image_Carrousel</t>
        </is>
      </c>
    </row>
    <row r="433" ht="13.5" customHeight="1" s="109">
      <c r="A433" s="35" t="inlineStr">
        <is>
          <t>https://www.instagram.com/p/DVAsPbdALxT/</t>
        </is>
      </c>
      <c r="B433" s="35" t="inlineStr">
        <is>
          <t>Societe &amp; Droits</t>
        </is>
      </c>
      <c r="C433" s="35" t="inlineStr">
        <is>
          <t>Faits de societe</t>
        </is>
      </c>
      <c r="D433" s="36" t="n">
        <v>40</v>
      </c>
      <c r="E433" s="36" t="inlineStr">
        <is>
          <t>G</t>
        </is>
      </c>
      <c r="F433" s="35" t="inlineStr">
        <is>
          <t>Met en lumière une initiative sociale d'aide, ton bienveillant.</t>
        </is>
      </c>
      <c r="G433" s="36" t="inlineStr">
        <is>
          <t>Non</t>
        </is>
      </c>
      <c r="H433" s="35" t="n"/>
      <c r="I433" s="36" t="n">
        <v>0</v>
      </c>
      <c r="J433" s="36" t="n">
        <v>2</v>
      </c>
      <c r="K433" s="74">
        <f>IFERROR(I433/J433,0)</f>
        <v/>
      </c>
      <c r="L433" s="36" t="n">
        <v>49</v>
      </c>
      <c r="M433" s="36" t="n">
        <v>2226</v>
      </c>
      <c r="N433" s="36" t="n">
        <v>87777</v>
      </c>
      <c r="O433" s="35" t="inlineStr">
        <is>
          <t>Video</t>
        </is>
      </c>
    </row>
    <row r="434" ht="13.5" customHeight="1" s="109">
      <c r="A434" s="72" t="inlineStr">
        <is>
          <t>https://www.instagram.com/p/DVWXS_BDC8r/</t>
        </is>
      </c>
      <c r="B434" s="72" t="inlineStr">
        <is>
          <t>Environnement &amp; Nature</t>
        </is>
      </c>
      <c r="C434" s="72" t="inlineStr">
        <is>
          <t>Climat / Ecologie</t>
        </is>
      </c>
      <c r="D434" s="73" t="n">
        <v>45</v>
      </c>
      <c r="E434" s="73" t="inlineStr">
        <is>
          <t>G</t>
        </is>
      </c>
      <c r="F434" s="72" t="inlineStr">
        <is>
          <t>RTS public service, factuel, met en avant une menace environnementale significative.</t>
        </is>
      </c>
      <c r="G434" s="73" t="inlineStr">
        <is>
          <t>Non</t>
        </is>
      </c>
      <c r="H434" s="72" t="n"/>
      <c r="I434" s="73" t="n">
        <v>0</v>
      </c>
      <c r="J434" s="73" t="n">
        <v>9</v>
      </c>
      <c r="K434" s="74">
        <f>IFERROR(I434/J434,0)</f>
        <v/>
      </c>
      <c r="L434" s="73" t="n">
        <v>16</v>
      </c>
      <c r="M434" s="73" t="n">
        <v>1341</v>
      </c>
      <c r="N434" s="73" t="n">
        <v>0</v>
      </c>
      <c r="O434" s="72" t="inlineStr">
        <is>
          <t>Image_Carrousel</t>
        </is>
      </c>
    </row>
    <row r="435" ht="13.5" customHeight="1" s="109">
      <c r="A435" s="35" t="inlineStr">
        <is>
          <t>https://www.instagram.com/p/DU-DtSQDk2G/</t>
        </is>
      </c>
      <c r="B435" s="35" t="inlineStr">
        <is>
          <t>Culture &amp; Loisirs</t>
        </is>
      </c>
      <c r="C435" s="35" t="inlineStr">
        <is>
          <t>Arts</t>
        </is>
      </c>
      <c r="D435" s="36" t="n">
        <v>50</v>
      </c>
      <c r="E435" s="36" t="inlineStr">
        <is>
          <t>N</t>
        </is>
      </c>
      <c r="F435" s="35" t="inlineStr">
        <is>
          <t>Média public suisse, reportage factuel et neutre sur un décès de célébrité.</t>
        </is>
      </c>
      <c r="G435" s="36" t="inlineStr">
        <is>
          <t>Oui</t>
        </is>
      </c>
      <c r="H435" s="35" t="inlineStr">
        <is>
          <t>Un commentaire relie la SLA au vaccin Covid, sous-entendant un manque d'information.</t>
        </is>
      </c>
      <c r="I435" s="36" t="n">
        <v>1</v>
      </c>
      <c r="J435" s="36" t="n">
        <v>10</v>
      </c>
      <c r="K435" s="74">
        <f>IFERROR(I435/J435,0)</f>
        <v/>
      </c>
      <c r="L435" s="36" t="n">
        <v>124</v>
      </c>
      <c r="M435" s="36" t="n">
        <v>16681</v>
      </c>
      <c r="N435" s="36" t="n">
        <v>0</v>
      </c>
      <c r="O435" s="35" t="inlineStr">
        <is>
          <t>Image_Carrousel</t>
        </is>
      </c>
    </row>
    <row r="436" ht="13.5" customHeight="1" s="109">
      <c r="A436" s="72" t="inlineStr">
        <is>
          <t>https://www.instagram.com/p/DU9B9-4DM02/</t>
        </is>
      </c>
      <c r="B436" s="72" t="inlineStr">
        <is>
          <t>Securite &amp; Justice</t>
        </is>
      </c>
      <c r="C436" s="72" t="inlineStr">
        <is>
          <t>Justice</t>
        </is>
      </c>
      <c r="D436" s="73" t="n">
        <v>50</v>
      </c>
      <c r="E436" s="73" t="inlineStr">
        <is>
          <t>N</t>
        </is>
      </c>
      <c r="F436" s="72" t="inlineStr">
        <is>
          <t>Reportage factuel sur une condamnation judiciaire, ton neutre sans prise de position.</t>
        </is>
      </c>
      <c r="G436" s="73" t="inlineStr">
        <is>
          <t>Non</t>
        </is>
      </c>
      <c r="H436" s="72" t="n"/>
      <c r="I436" s="73" t="n">
        <v>0</v>
      </c>
      <c r="J436" s="73" t="n">
        <v>8</v>
      </c>
      <c r="K436" s="74">
        <f>IFERROR(I436/J436,0)</f>
        <v/>
      </c>
      <c r="L436" s="73" t="n">
        <v>150</v>
      </c>
      <c r="M436" s="73" t="n">
        <v>11295</v>
      </c>
      <c r="N436" s="73" t="n">
        <v>0</v>
      </c>
      <c r="O436" s="72" t="inlineStr">
        <is>
          <t>Image_Carrousel</t>
        </is>
      </c>
    </row>
    <row r="437" ht="13.5" customHeight="1" s="109">
      <c r="A437" s="35" t="inlineStr">
        <is>
          <t>https://www.instagram.com/p/DU80_8yAbwm/</t>
        </is>
      </c>
      <c r="B437" s="35" t="inlineStr">
        <is>
          <t>Sante</t>
        </is>
      </c>
      <c r="C437" s="35" t="inlineStr">
        <is>
          <t>Sante publique</t>
        </is>
      </c>
      <c r="D437" s="36" t="n">
        <v>50</v>
      </c>
      <c r="E437" s="36" t="inlineStr">
        <is>
          <t>N</t>
        </is>
      </c>
      <c r="F437" s="35" t="inlineStr">
        <is>
          <t>Média public suisse, vise la neutralité informative dans le reportage.</t>
        </is>
      </c>
      <c r="G437" s="36" t="inlineStr">
        <is>
          <t>Non</t>
        </is>
      </c>
      <c r="H437" s="35" t="n"/>
      <c r="I437" s="36" t="n">
        <v>0</v>
      </c>
      <c r="J437" s="36" t="n">
        <v>2</v>
      </c>
      <c r="K437" s="74">
        <f>IFERROR(I437/J437,0)</f>
        <v/>
      </c>
      <c r="L437" s="36" t="n">
        <v>35</v>
      </c>
      <c r="M437" s="36" t="n">
        <v>2231</v>
      </c>
      <c r="N437" s="36" t="n">
        <v>0</v>
      </c>
      <c r="O437" s="35" t="inlineStr">
        <is>
          <t>Image_Carrousel</t>
        </is>
      </c>
    </row>
    <row r="438" ht="13.5" customHeight="1" s="109">
      <c r="A438" s="72" t="inlineStr">
        <is>
          <t>https://www.instagram.com/p/DU8hEG_DN4p/</t>
        </is>
      </c>
      <c r="B438" s="72" t="inlineStr">
        <is>
          <t>Societe &amp; Droits</t>
        </is>
      </c>
      <c r="C438" s="72" t="inlineStr">
        <is>
          <t>Faits de societe</t>
        </is>
      </c>
      <c r="D438" s="73" t="n">
        <v>40</v>
      </c>
      <c r="E438" s="73" t="inlineStr">
        <is>
          <t>N</t>
        </is>
      </c>
      <c r="F438" s="72" t="inlineStr">
        <is>
          <t>Média public suisse, mission d'information, souvent perçu légèrement à gauche.</t>
        </is>
      </c>
      <c r="G438" s="73" t="inlineStr">
        <is>
          <t>Non</t>
        </is>
      </c>
      <c r="H438" s="72" t="inlineStr">
        <is>
          <t>Aucun reproche direct ou indirect envers le média.</t>
        </is>
      </c>
      <c r="I438" s="73" t="n">
        <v>0</v>
      </c>
      <c r="J438" s="73" t="n">
        <v>6</v>
      </c>
      <c r="K438" s="74">
        <f>IFERROR(I438/J438,0)</f>
        <v/>
      </c>
      <c r="L438" s="73" t="n">
        <v>50</v>
      </c>
      <c r="M438" s="73" t="n">
        <v>4225</v>
      </c>
      <c r="N438" s="73" t="n">
        <v>0</v>
      </c>
      <c r="O438" s="72" t="inlineStr">
        <is>
          <t>Image_Carrousel</t>
        </is>
      </c>
    </row>
    <row r="439" ht="13.5" customHeight="1" s="109">
      <c r="A439" s="35" t="inlineStr">
        <is>
          <t>https://www.instagram.com/p/DU-YjaXjz6C/</t>
        </is>
      </c>
      <c r="B439" s="35" t="inlineStr">
        <is>
          <t>Culture &amp; Loisirs</t>
        </is>
      </c>
      <c r="C439" s="35" t="inlineStr">
        <is>
          <t>Medias</t>
        </is>
      </c>
      <c r="D439" s="36" t="n">
        <v>50</v>
      </c>
      <c r="E439" s="36" t="inlineStr">
        <is>
          <t>N</t>
        </is>
      </c>
      <c r="F439" s="35" t="inlineStr">
        <is>
          <t>Média public suisse, vise la neutralité, sujet léger sans angle politique.</t>
        </is>
      </c>
      <c r="G439" s="36" t="inlineStr">
        <is>
          <t>Oui</t>
        </is>
      </c>
      <c r="H439" s="35" t="inlineStr">
        <is>
          <t>Choix du sujet jugé non prioritaire pour un média public.</t>
        </is>
      </c>
      <c r="I439" s="36" t="n">
        <v>1</v>
      </c>
      <c r="J439" s="36" t="n">
        <v>5</v>
      </c>
      <c r="K439" s="74">
        <f>IFERROR(I439/J439,0)</f>
        <v/>
      </c>
      <c r="L439" s="36" t="n">
        <v>12</v>
      </c>
      <c r="M439" s="36" t="n">
        <v>3600</v>
      </c>
      <c r="N439" s="36" t="n">
        <v>0</v>
      </c>
      <c r="O439" s="35" t="inlineStr">
        <is>
          <t>Image_Carrousel</t>
        </is>
      </c>
    </row>
    <row r="440" ht="13.5" customHeight="1" s="109">
      <c r="A440" s="72" t="inlineStr">
        <is>
          <t>https://www.instagram.com/p/DU8nYrvCChI/</t>
        </is>
      </c>
      <c r="B440" s="72" t="inlineStr">
        <is>
          <t>International</t>
        </is>
      </c>
      <c r="C440" s="72" t="inlineStr">
        <is>
          <t>Geopolitique</t>
        </is>
      </c>
      <c r="D440" s="73" t="n">
        <v>45</v>
      </c>
      <c r="E440" s="73" t="inlineStr">
        <is>
          <t>N</t>
        </is>
      </c>
      <c r="F440" s="72" t="inlineStr">
        <is>
          <t>Rapport factuel, mais soulève des inquiétudes sur le rôle US, sans prise de position unilatérale.</t>
        </is>
      </c>
      <c r="G440" s="73" t="inlineStr">
        <is>
          <t>Non</t>
        </is>
      </c>
      <c r="H440" s="72" t="n"/>
      <c r="I440" s="73" t="n">
        <v>0</v>
      </c>
      <c r="J440" s="73" t="n">
        <v>7</v>
      </c>
      <c r="K440" s="74">
        <f>IFERROR(I440/J440,0)</f>
        <v/>
      </c>
      <c r="L440" s="73" t="n">
        <v>43</v>
      </c>
      <c r="M440" s="73" t="n">
        <v>405</v>
      </c>
      <c r="N440" s="73" t="n">
        <v>14504</v>
      </c>
      <c r="O440" s="72" t="inlineStr">
        <is>
          <t>Video</t>
        </is>
      </c>
    </row>
    <row r="441" ht="13.5" customHeight="1" s="109">
      <c r="A441" s="35" t="inlineStr">
        <is>
          <t>https://www.instagram.com/p/DU7bvQeAZ_p/</t>
        </is>
      </c>
      <c r="B441" s="35" t="inlineStr">
        <is>
          <t>Politique &amp; Institutions</t>
        </is>
      </c>
      <c r="C441" s="35" t="inlineStr">
        <is>
          <t>Vie politique CH</t>
        </is>
      </c>
      <c r="D441" s="36" t="n">
        <v>50</v>
      </c>
      <c r="E441" s="36" t="inlineStr">
        <is>
          <t>N</t>
        </is>
      </c>
      <c r="F441" s="35" t="inlineStr">
        <is>
          <t>RTSinfo rapporte faits et déclarations officielles du Conseil fédéral de manière neutre.</t>
        </is>
      </c>
      <c r="G441" s="36" t="inlineStr">
        <is>
          <t>Oui</t>
        </is>
      </c>
      <c r="H441" s="35" t="inlineStr">
        <is>
          <t>Un commentaire reproche au media de relayer une 'stratégie de droite'.</t>
        </is>
      </c>
      <c r="I441" s="36" t="n">
        <v>1</v>
      </c>
      <c r="J441" s="36" t="n">
        <v>9</v>
      </c>
      <c r="K441" s="74">
        <f>IFERROR(I441/J441,0)</f>
        <v/>
      </c>
      <c r="L441" s="36" t="n">
        <v>253</v>
      </c>
      <c r="M441" s="36" t="n">
        <v>9292</v>
      </c>
      <c r="N441" s="36" t="n">
        <v>0</v>
      </c>
      <c r="O441" s="35" t="inlineStr">
        <is>
          <t>Image_Carrousel</t>
        </is>
      </c>
    </row>
    <row r="442" ht="13.5" customHeight="1" s="109">
      <c r="A442" s="72" t="inlineStr">
        <is>
          <t>https://www.instagram.com/p/DU77oejoOPW/</t>
        </is>
      </c>
      <c r="B442" s="72" t="inlineStr">
        <is>
          <t>Securite &amp; Justice</t>
        </is>
      </c>
      <c r="C442" s="72" t="inlineStr">
        <is>
          <t>Justice</t>
        </is>
      </c>
      <c r="D442" s="73" t="n">
        <v>50</v>
      </c>
      <c r="E442" s="73" t="inlineStr">
        <is>
          <t>N</t>
        </is>
      </c>
      <c r="F442" s="72" t="inlineStr">
        <is>
          <t>RTS, service public, rapporte des faits sans prendre position.</t>
        </is>
      </c>
      <c r="G442" s="73" t="inlineStr">
        <is>
          <t>Non</t>
        </is>
      </c>
      <c r="H442" s="72" t="n"/>
      <c r="I442" s="73" t="n">
        <v>0</v>
      </c>
      <c r="J442" s="73" t="n">
        <v>5</v>
      </c>
      <c r="K442" s="74">
        <f>IFERROR(I442/J442,0)</f>
        <v/>
      </c>
      <c r="L442" s="73" t="n">
        <v>132</v>
      </c>
      <c r="M442" s="73" t="n">
        <v>8502</v>
      </c>
      <c r="N442" s="73" t="n">
        <v>0</v>
      </c>
      <c r="O442" s="72" t="inlineStr">
        <is>
          <t>Image_Carrousel</t>
        </is>
      </c>
    </row>
    <row r="443" ht="13.5" customHeight="1" s="109">
      <c r="A443" s="35" t="inlineStr">
        <is>
          <t>https://www.instagram.com/p/DU8uNXpDHQ0/</t>
        </is>
      </c>
      <c r="B443" s="35" t="inlineStr">
        <is>
          <t>Sante</t>
        </is>
      </c>
      <c r="C443" s="35" t="inlineStr">
        <is>
          <t>Sante publique</t>
        </is>
      </c>
      <c r="D443" s="36" t="n">
        <v>45</v>
      </c>
      <c r="E443" s="36" t="inlineStr">
        <is>
          <t>N</t>
        </is>
      </c>
      <c r="F443" s="35" t="inlineStr">
        <is>
          <t>Média public Suisse, factuel, met en lumière un risque de santé publique.</t>
        </is>
      </c>
      <c r="G443" s="36" t="inlineStr">
        <is>
          <t>Oui</t>
        </is>
      </c>
      <c r="H443" s="35" t="inlineStr">
        <is>
          <t>Manque d'information sur les marques non affectées.</t>
        </is>
      </c>
      <c r="I443" s="36" t="n">
        <v>1</v>
      </c>
      <c r="J443" s="36" t="n">
        <v>7</v>
      </c>
      <c r="K443" s="74">
        <f>IFERROR(I443/J443,0)</f>
        <v/>
      </c>
      <c r="L443" s="36" t="n">
        <v>36</v>
      </c>
      <c r="M443" s="36" t="n">
        <v>2292</v>
      </c>
      <c r="N443" s="36" t="n">
        <v>0</v>
      </c>
      <c r="O443" s="35" t="inlineStr">
        <is>
          <t>Image_Carrousel</t>
        </is>
      </c>
    </row>
    <row r="444" ht="13.5" customHeight="1" s="109">
      <c r="A444" s="72" t="inlineStr">
        <is>
          <t>https://www.instagram.com/p/DU7U6dTmsAT/</t>
        </is>
      </c>
      <c r="B444" s="72" t="inlineStr">
        <is>
          <t>Environnement &amp; Nature</t>
        </is>
      </c>
      <c r="C444" s="72" t="inlineStr">
        <is>
          <t>Climat / Ecologie</t>
        </is>
      </c>
      <c r="D444" s="73" t="n">
        <v>40</v>
      </c>
      <c r="E444" s="73" t="inlineStr">
        <is>
          <t>G</t>
        </is>
      </c>
      <c r="F444" s="72" t="inlineStr">
        <is>
          <t>Sujet sur l'intensification des événements climatiques, en phase avec le discours progressiste.</t>
        </is>
      </c>
      <c r="G444" s="73" t="inlineStr">
        <is>
          <t>Oui</t>
        </is>
      </c>
      <c r="H444" s="72" t="inlineStr">
        <is>
          <t>Média accusé de catastrophisme, d'inexactitude et de coût excessif.</t>
        </is>
      </c>
      <c r="I444" s="73" t="n">
        <v>3</v>
      </c>
      <c r="J444" s="73" t="n">
        <v>6</v>
      </c>
      <c r="K444" s="74">
        <f>IFERROR(I444/J444,0)</f>
        <v/>
      </c>
      <c r="L444" s="73" t="n">
        <v>63</v>
      </c>
      <c r="M444" s="73" t="n">
        <v>8402</v>
      </c>
      <c r="N444" s="73" t="n">
        <v>162371</v>
      </c>
      <c r="O444" s="72" t="inlineStr">
        <is>
          <t>Video</t>
        </is>
      </c>
    </row>
    <row r="445" ht="13.5" customHeight="1" s="109">
      <c r="A445" s="35" t="inlineStr">
        <is>
          <t>https://www.instagram.com/p/DU7isGtgMoC/</t>
        </is>
      </c>
      <c r="B445" s="35" t="inlineStr">
        <is>
          <t>Environnement &amp; Nature</t>
        </is>
      </c>
      <c r="C445" s="35" t="inlineStr">
        <is>
          <t>Climat / Ecologie</t>
        </is>
      </c>
      <c r="D445" s="36" t="n">
        <v>40</v>
      </c>
      <c r="E445" s="36" t="inlineStr">
        <is>
          <t>N</t>
        </is>
      </c>
      <c r="F445" s="35" t="inlineStr">
        <is>
          <t>RTS est un média public, rapport scientifique sur impact environnemental.</t>
        </is>
      </c>
      <c r="G445" s="36" t="inlineStr">
        <is>
          <t>Oui</t>
        </is>
      </c>
      <c r="H445" s="35" t="inlineStr">
        <is>
          <t>Accusation de biais politique et deux poids, deux mesures envers le media.</t>
        </is>
      </c>
      <c r="I445" s="36" t="n">
        <v>1</v>
      </c>
      <c r="J445" s="36" t="n">
        <v>6</v>
      </c>
      <c r="K445" s="74">
        <f>IFERROR(I445/J445,0)</f>
        <v/>
      </c>
      <c r="L445" s="36" t="n">
        <v>20</v>
      </c>
      <c r="M445" s="36" t="n">
        <v>972</v>
      </c>
      <c r="N445" s="36" t="n">
        <v>0</v>
      </c>
      <c r="O445" s="35" t="inlineStr">
        <is>
          <t>Image_Carrousel</t>
        </is>
      </c>
    </row>
    <row r="446" ht="13.5" customHeight="1" s="109">
      <c r="A446" s="72" t="inlineStr">
        <is>
          <t>https://www.instagram.com/p/DU8LztDE7CL/</t>
        </is>
      </c>
      <c r="B446" s="72" t="inlineStr">
        <is>
          <t>Culture &amp; Loisirs</t>
        </is>
      </c>
      <c r="C446" s="72" t="inlineStr">
        <is>
          <t>Arts</t>
        </is>
      </c>
      <c r="D446" s="73" t="n">
        <v>50</v>
      </c>
      <c r="E446" s="73" t="inlineStr">
        <is>
          <t>N</t>
        </is>
      </c>
      <c r="F446" s="72" t="inlineStr">
        <is>
          <t>L'article rapporte factuellement la sortie d'un album aux thèmes engagés sans prendre position.</t>
        </is>
      </c>
      <c r="G446" s="73" t="inlineStr">
        <is>
          <t>Oui</t>
        </is>
      </c>
      <c r="H446" s="72" t="inlineStr">
        <is>
          <t>Critique implicite de double standard/biais médiatique sur les conflits.</t>
        </is>
      </c>
      <c r="I446" s="73" t="n">
        <v>1</v>
      </c>
      <c r="J446" s="73" t="n">
        <v>9</v>
      </c>
      <c r="K446" s="74">
        <f>IFERROR(I446/J446,0)</f>
        <v/>
      </c>
      <c r="L446" s="73" t="n">
        <v>32</v>
      </c>
      <c r="M446" s="73" t="n">
        <v>2760</v>
      </c>
      <c r="N446" s="73" t="n">
        <v>0</v>
      </c>
      <c r="O446" s="72" t="inlineStr">
        <is>
          <t>Image_Carrousel</t>
        </is>
      </c>
    </row>
    <row r="447" ht="13.5" customHeight="1" s="109">
      <c r="A447" s="35" t="inlineStr">
        <is>
          <t>https://www.instagram.com/p/DU6QVWegdqy/</t>
        </is>
      </c>
      <c r="B447" s="35" t="inlineStr">
        <is>
          <t>Environnement &amp; Nature</t>
        </is>
      </c>
      <c r="C447" s="35" t="inlineStr">
        <is>
          <t>Climat / Ecologie</t>
        </is>
      </c>
      <c r="D447" s="36" t="n">
        <v>50</v>
      </c>
      <c r="E447" s="36" t="inlineStr">
        <is>
          <t>N</t>
        </is>
      </c>
      <c r="F447" s="35" t="inlineStr">
        <is>
          <t>Média public, reportage factuel sur un danger naturel et expertise.</t>
        </is>
      </c>
      <c r="G447" s="36" t="inlineStr">
        <is>
          <t>Oui</t>
        </is>
      </c>
      <c r="H447" s="35" t="inlineStr">
        <is>
          <t>Un commentaire accuse le média de double standards et soutient une critique antérieure.</t>
        </is>
      </c>
      <c r="I447" s="36" t="n">
        <v>1</v>
      </c>
      <c r="J447" s="36" t="n">
        <v>8</v>
      </c>
      <c r="K447" s="74">
        <f>IFERROR(I447/J447,0)</f>
        <v/>
      </c>
      <c r="L447" s="36" t="n">
        <v>21</v>
      </c>
      <c r="M447" s="36" t="n">
        <v>7472</v>
      </c>
      <c r="N447" s="36" t="n">
        <v>165317</v>
      </c>
      <c r="O447" s="35" t="inlineStr">
        <is>
          <t>Video</t>
        </is>
      </c>
    </row>
    <row r="448" ht="13.5" customHeight="1" s="109">
      <c r="A448" s="72" t="inlineStr">
        <is>
          <t>https://www.instagram.com/p/DU7zxbkicrh/</t>
        </is>
      </c>
      <c r="B448" s="72" t="inlineStr">
        <is>
          <t>Societe &amp; Droits</t>
        </is>
      </c>
      <c r="C448" s="72" t="inlineStr">
        <is>
          <t>Faits de societe</t>
        </is>
      </c>
      <c r="D448" s="73" t="n">
        <v>40</v>
      </c>
      <c r="E448" s="73" t="inlineStr">
        <is>
          <t>N</t>
        </is>
      </c>
      <c r="F448" s="72" t="inlineStr">
        <is>
          <t>RTS Info, service public suisse, généralement neutre, se penche sur protection des jeunes.</t>
        </is>
      </c>
      <c r="G448" s="73" t="inlineStr">
        <is>
          <t>Oui</t>
        </is>
      </c>
      <c r="H448" s="72" t="inlineStr">
        <is>
          <t>Info jugée superficielle/complicité, critique de la censure journalistique.</t>
        </is>
      </c>
      <c r="I448" s="73" t="n">
        <v>2</v>
      </c>
      <c r="J448" s="73" t="n">
        <v>8</v>
      </c>
      <c r="K448" s="74">
        <f>IFERROR(I448/J448,0)</f>
        <v/>
      </c>
      <c r="L448" s="73" t="n">
        <v>58</v>
      </c>
      <c r="M448" s="73" t="n">
        <v>2541</v>
      </c>
      <c r="N448" s="73" t="n">
        <v>0</v>
      </c>
      <c r="O448" s="72" t="inlineStr">
        <is>
          <t>Image_Carrousel</t>
        </is>
      </c>
    </row>
    <row r="449" ht="13.5" customHeight="1" s="109">
      <c r="A449" s="35" t="inlineStr">
        <is>
          <t>https://www.instagram.com/p/DU95wPygNwp/</t>
        </is>
      </c>
      <c r="B449" s="35" t="inlineStr">
        <is>
          <t>Culture &amp; Loisirs</t>
        </is>
      </c>
      <c r="C449" s="35" t="inlineStr">
        <is>
          <t>Sport</t>
        </is>
      </c>
      <c r="D449" s="36" t="n">
        <v>50</v>
      </c>
      <c r="E449" s="36" t="inlineStr">
        <is>
          <t>N</t>
        </is>
      </c>
      <c r="F449" s="35" t="inlineStr">
        <is>
          <t>Article factuel et informatif sur l'histoire d'une invention, sans positionnement politique.</t>
        </is>
      </c>
      <c r="G449" s="36" t="inlineStr">
        <is>
          <t>Oui</t>
        </is>
      </c>
      <c r="H449" s="35" t="inlineStr">
        <is>
          <t>Biais perçu, deux poids deux mesures, manque de soutien à un journaliste.</t>
        </is>
      </c>
      <c r="I449" s="36" t="n">
        <v>2</v>
      </c>
      <c r="J449" s="36" t="n">
        <v>5</v>
      </c>
      <c r="K449" s="74">
        <f>IFERROR(I449/J449,0)</f>
        <v/>
      </c>
      <c r="L449" s="36" t="n">
        <v>5</v>
      </c>
      <c r="M449" s="36" t="n">
        <v>10999</v>
      </c>
      <c r="N449" s="36" t="n">
        <v>205690</v>
      </c>
      <c r="O449" s="35" t="inlineStr">
        <is>
          <t>Video</t>
        </is>
      </c>
    </row>
    <row r="450" ht="13.5" customHeight="1" s="109">
      <c r="A450" s="72" t="inlineStr">
        <is>
          <t>https://www.instagram.com/p/DU6WR5Rgp4z/</t>
        </is>
      </c>
      <c r="B450" s="72" t="inlineStr">
        <is>
          <t>Culture &amp; Loisirs</t>
        </is>
      </c>
      <c r="C450" s="72" t="inlineStr">
        <is>
          <t>Sport</t>
        </is>
      </c>
      <c r="D450" s="73" t="n">
        <v>50</v>
      </c>
      <c r="E450" s="73" t="inlineStr">
        <is>
          <t>N</t>
        </is>
      </c>
      <c r="F450" s="72" t="inlineStr">
        <is>
          <t>RTS Sport, service public. Rapport factuel d'événement sportif majeur, neutre.</t>
        </is>
      </c>
      <c r="G450" s="73" t="inlineStr">
        <is>
          <t>Oui</t>
        </is>
      </c>
      <c r="H450" s="72" t="inlineStr">
        <is>
          <t>Manque de couverture médiatique de l'équipe féminine de hockey.</t>
        </is>
      </c>
      <c r="I450" s="73" t="n">
        <v>1</v>
      </c>
      <c r="J450" s="73" t="n">
        <v>9</v>
      </c>
      <c r="K450" s="74">
        <f>IFERROR(I450/J450,0)</f>
        <v/>
      </c>
      <c r="L450" s="73" t="n">
        <v>87</v>
      </c>
      <c r="M450" s="73" t="n">
        <v>3738</v>
      </c>
      <c r="N450" s="73" t="n">
        <v>0</v>
      </c>
      <c r="O450" s="72" t="inlineStr">
        <is>
          <t>Image_Carrousel</t>
        </is>
      </c>
    </row>
    <row r="451" ht="13.5" customHeight="1" s="109">
      <c r="A451" s="35" t="inlineStr">
        <is>
          <t>https://www.instagram.com/p/DVBHzj2IIUV/</t>
        </is>
      </c>
      <c r="B451" s="35" t="inlineStr">
        <is>
          <t>Societe &amp; Droits</t>
        </is>
      </c>
      <c r="C451" s="35" t="inlineStr">
        <is>
          <t>Faits de societe</t>
        </is>
      </c>
      <c r="D451" s="36" t="n">
        <v>50</v>
      </c>
      <c r="E451" s="36" t="inlineStr">
        <is>
          <t>N</t>
        </is>
      </c>
      <c r="F451" s="35" t="inlineStr">
        <is>
          <t>Média public mettant en avant initiatives locales positives et peu polarisantes.</t>
        </is>
      </c>
      <c r="G451" s="36" t="inlineStr">
        <is>
          <t>Non</t>
        </is>
      </c>
      <c r="H451" s="35" t="n"/>
      <c r="I451" s="36" t="n">
        <v>0</v>
      </c>
      <c r="J451" s="36" t="n">
        <v>1</v>
      </c>
      <c r="K451" s="74">
        <f>IFERROR(I451/J451,0)</f>
        <v/>
      </c>
      <c r="L451" s="36" t="n">
        <v>2</v>
      </c>
      <c r="M451" s="36" t="n">
        <v>1360</v>
      </c>
      <c r="N451" s="36" t="n">
        <v>0</v>
      </c>
      <c r="O451" s="35" t="inlineStr">
        <is>
          <t>Image_Carrousel</t>
        </is>
      </c>
    </row>
    <row r="452" ht="13.5" customHeight="1" s="109">
      <c r="A452" s="72" t="inlineStr">
        <is>
          <t>https://www.instagram.com/p/DU-AiqmDOlv/</t>
        </is>
      </c>
      <c r="B452" s="72" t="inlineStr">
        <is>
          <t>International</t>
        </is>
      </c>
      <c r="C452" s="72" t="inlineStr">
        <is>
          <t>Geopolitique</t>
        </is>
      </c>
      <c r="D452" s="73" t="n">
        <v>45</v>
      </c>
      <c r="E452" s="73" t="inlineStr">
        <is>
          <t>N</t>
        </is>
      </c>
      <c r="F452" s="72" t="inlineStr">
        <is>
          <t>Média public, ton informatif et neutre sur un enjeu géopolitique.</t>
        </is>
      </c>
      <c r="G452" s="73" t="inlineStr">
        <is>
          <t>Oui</t>
        </is>
      </c>
      <c r="H452" s="72" t="inlineStr">
        <is>
          <t>Accusation de biais, manque de soutien et deux poids, deux mesures.</t>
        </is>
      </c>
      <c r="I452" s="73" t="n">
        <v>1</v>
      </c>
      <c r="J452" s="73" t="n">
        <v>4</v>
      </c>
      <c r="K452" s="74">
        <f>IFERROR(I452/J452,0)</f>
        <v/>
      </c>
      <c r="L452" s="73" t="n">
        <v>4</v>
      </c>
      <c r="M452" s="73" t="n">
        <v>1421</v>
      </c>
      <c r="N452" s="73" t="n">
        <v>0</v>
      </c>
      <c r="O452" s="72" t="inlineStr">
        <is>
          <t>Image_Carrousel</t>
        </is>
      </c>
    </row>
    <row r="453" ht="13.5" customHeight="1" s="109">
      <c r="A453" s="35" t="inlineStr">
        <is>
          <t>https://www.instagram.com/p/DU796iRFN4I/</t>
        </is>
      </c>
      <c r="B453" s="35" t="inlineStr">
        <is>
          <t>Societe &amp; Droits</t>
        </is>
      </c>
      <c r="C453" s="35" t="inlineStr">
        <is>
          <t>Faits de societe</t>
        </is>
      </c>
      <c r="D453" s="36" t="n">
        <v>50</v>
      </c>
      <c r="E453" s="36" t="inlineStr">
        <is>
          <t>N</t>
        </is>
      </c>
      <c r="F453" s="35" t="inlineStr">
        <is>
          <t>Média public suisse, vise la neutralité et l'information factuelle.</t>
        </is>
      </c>
      <c r="G453" s="36" t="inlineStr">
        <is>
          <t>Non</t>
        </is>
      </c>
      <c r="H453" s="35" t="n"/>
      <c r="I453" s="36" t="n">
        <v>0</v>
      </c>
      <c r="J453" s="36" t="n">
        <v>7</v>
      </c>
      <c r="K453" s="74">
        <f>IFERROR(I453/J453,0)</f>
        <v/>
      </c>
      <c r="L453" s="36" t="n">
        <v>261</v>
      </c>
      <c r="M453" s="36" t="n">
        <v>2483</v>
      </c>
      <c r="N453" s="36" t="n">
        <v>78167</v>
      </c>
      <c r="O453" s="35" t="inlineStr">
        <is>
          <t>Video</t>
        </is>
      </c>
    </row>
    <row r="454" ht="13.5" customHeight="1" s="109">
      <c r="A454" s="72" t="inlineStr">
        <is>
          <t>https://www.instagram.com/p/DU8E8M4DK2F/</t>
        </is>
      </c>
      <c r="B454" s="72" t="inlineStr">
        <is>
          <t>Societe &amp; Droits</t>
        </is>
      </c>
      <c r="C454" s="72" t="inlineStr">
        <is>
          <t>Faits de societe</t>
        </is>
      </c>
      <c r="D454" s="73" t="n">
        <v>40</v>
      </c>
      <c r="E454" s="73" t="inlineStr">
        <is>
          <t>N</t>
        </is>
      </c>
      <c r="F454" s="72" t="inlineStr">
        <is>
          <t>RTSinfo, média de service public, présente un sujet sociétal important de manière factuelle.</t>
        </is>
      </c>
      <c r="G454" s="73" t="inlineStr">
        <is>
          <t>Non</t>
        </is>
      </c>
      <c r="H454" s="72" t="n"/>
      <c r="I454" s="73" t="n">
        <v>0</v>
      </c>
      <c r="J454" s="73" t="n">
        <v>2</v>
      </c>
      <c r="K454" s="74">
        <f>IFERROR(I454/J454,0)</f>
        <v/>
      </c>
      <c r="L454" s="73" t="n">
        <v>107</v>
      </c>
      <c r="M454" s="73" t="n">
        <v>4270</v>
      </c>
      <c r="N454" s="73" t="n">
        <v>0</v>
      </c>
      <c r="O454" s="72" t="inlineStr">
        <is>
          <t>Image_Carrousel</t>
        </is>
      </c>
    </row>
    <row r="455" ht="13.5" customHeight="1" s="109">
      <c r="A455" s="35" t="inlineStr">
        <is>
          <t>https://www.instagram.com/p/DU5qzVXglgs/</t>
        </is>
      </c>
      <c r="B455" s="35" t="inlineStr">
        <is>
          <t>Culture &amp; Loisirs</t>
        </is>
      </c>
      <c r="C455" s="35" t="inlineStr">
        <is>
          <t>Sport</t>
        </is>
      </c>
      <c r="D455" s="36" t="n">
        <v>50</v>
      </c>
      <c r="E455" s="36" t="inlineStr">
        <is>
          <t>N</t>
        </is>
      </c>
      <c r="F455" s="35" t="inlineStr">
        <is>
          <t>RTS est un média de service public suisse, réputé pour sa neutralité.</t>
        </is>
      </c>
      <c r="G455" s="36" t="inlineStr">
        <is>
          <t>Non</t>
        </is>
      </c>
      <c r="H455" s="35" t="n"/>
      <c r="I455" s="36" t="n">
        <v>0</v>
      </c>
      <c r="J455" s="36" t="n">
        <v>8</v>
      </c>
      <c r="K455" s="74">
        <f>IFERROR(I455/J455,0)</f>
        <v/>
      </c>
      <c r="L455" s="36" t="n">
        <v>43</v>
      </c>
      <c r="M455" s="36" t="n">
        <v>6038</v>
      </c>
      <c r="N455" s="36" t="n">
        <v>0</v>
      </c>
      <c r="O455" s="35" t="inlineStr">
        <is>
          <t>Image_Carrousel</t>
        </is>
      </c>
    </row>
    <row r="456" ht="13.5" customHeight="1" s="109">
      <c r="A456" s="72" t="inlineStr">
        <is>
          <t>https://www.instagram.com/p/DU5aFzrgiPG/</t>
        </is>
      </c>
      <c r="B456" s="72" t="inlineStr">
        <is>
          <t>Culture &amp; Loisirs</t>
        </is>
      </c>
      <c r="C456" s="72" t="inlineStr">
        <is>
          <t>Sport</t>
        </is>
      </c>
      <c r="D456" s="73" t="n">
        <v>45</v>
      </c>
      <c r="E456" s="73" t="inlineStr">
        <is>
          <t>N</t>
        </is>
      </c>
      <c r="F456" s="72" t="inlineStr">
        <is>
          <t>RTS, service public, couverture neutre d'une actualité sportive nationale.</t>
        </is>
      </c>
      <c r="G456" s="73" t="inlineStr">
        <is>
          <t>Oui</t>
        </is>
      </c>
      <c r="H456" s="72" t="inlineStr">
        <is>
          <t>Perçue comme biaisée sur d'autres sujets sensibles et politique média.</t>
        </is>
      </c>
      <c r="I456" s="73" t="n">
        <v>2</v>
      </c>
      <c r="J456" s="73" t="n">
        <v>10</v>
      </c>
      <c r="K456" s="74">
        <f>IFERROR(I456/J456,0)</f>
        <v/>
      </c>
      <c r="L456" s="73" t="n">
        <v>42</v>
      </c>
      <c r="M456" s="73" t="n">
        <v>3441</v>
      </c>
      <c r="N456" s="73" t="n">
        <v>0</v>
      </c>
      <c r="O456" s="72" t="inlineStr">
        <is>
          <t>Image_Carrousel</t>
        </is>
      </c>
    </row>
    <row r="457" ht="13.5" customHeight="1" s="109">
      <c r="A457" s="35" t="inlineStr">
        <is>
          <t>https://www.instagram.com/p/DU6CiTLDNpV/</t>
        </is>
      </c>
      <c r="B457" s="35" t="inlineStr">
        <is>
          <t>Societe &amp; Droits</t>
        </is>
      </c>
      <c r="C457" s="35" t="inlineStr">
        <is>
          <t>Faits de societe</t>
        </is>
      </c>
      <c r="D457" s="36" t="n">
        <v>40</v>
      </c>
      <c r="E457" s="36" t="inlineStr">
        <is>
          <t>G</t>
        </is>
      </c>
      <c r="F457" s="35" t="inlineStr">
        <is>
          <t>RTS est public. Reportage factuel avec conscience sociale et contexte critique.</t>
        </is>
      </c>
      <c r="G457" s="36" t="inlineStr">
        <is>
          <t>Oui</t>
        </is>
      </c>
      <c r="H457" s="35" t="inlineStr">
        <is>
          <t>Accusation de pseudo-journalisme et biais envers la gauche.</t>
        </is>
      </c>
      <c r="I457" s="36" t="n">
        <v>1</v>
      </c>
      <c r="J457" s="36" t="n">
        <v>2</v>
      </c>
      <c r="K457" s="74">
        <f>IFERROR(I457/J457,0)</f>
        <v/>
      </c>
      <c r="L457" s="36" t="n">
        <v>675</v>
      </c>
      <c r="M457" s="36" t="n">
        <v>8146</v>
      </c>
      <c r="N457" s="36" t="n">
        <v>0</v>
      </c>
      <c r="O457" s="35" t="inlineStr">
        <is>
          <t>Image_Carrousel</t>
        </is>
      </c>
    </row>
    <row r="458" ht="13.5" customHeight="1" s="109">
      <c r="A458" s="72" t="inlineStr">
        <is>
          <t>https://www.instagram.com/p/DU5R3gBjVqN/</t>
        </is>
      </c>
      <c r="B458" s="72" t="inlineStr">
        <is>
          <t>Securite &amp; Justice</t>
        </is>
      </c>
      <c r="C458" s="72" t="inlineStr">
        <is>
          <t>Ordre public</t>
        </is>
      </c>
      <c r="D458" s="73" t="n">
        <v>45</v>
      </c>
      <c r="E458" s="73" t="inlineStr">
        <is>
          <t>N</t>
        </is>
      </c>
      <c r="F458" s="72" t="inlineStr">
        <is>
          <t>RTS info, reportage factuel sur l'incident, réparations, enquête et sanctions.</t>
        </is>
      </c>
      <c r="G458" s="73" t="inlineStr">
        <is>
          <t>Non</t>
        </is>
      </c>
      <c r="H458" s="72" t="n"/>
      <c r="I458" s="73" t="n">
        <v>0</v>
      </c>
      <c r="J458" s="73" t="n">
        <v>6</v>
      </c>
      <c r="K458" s="74">
        <f>IFERROR(I458/J458,0)</f>
        <v/>
      </c>
      <c r="L458" s="73" t="n">
        <v>68</v>
      </c>
      <c r="M458" s="73" t="n">
        <v>5944</v>
      </c>
      <c r="N458" s="73" t="n">
        <v>0</v>
      </c>
      <c r="O458" s="72" t="inlineStr">
        <is>
          <t>Image_Carrousel</t>
        </is>
      </c>
    </row>
    <row r="459" ht="13.5" customHeight="1" s="109">
      <c r="A459" s="35" t="inlineStr">
        <is>
          <t>https://www.instagram.com/p/DU49z6zDL4l/</t>
        </is>
      </c>
      <c r="B459" s="35" t="inlineStr">
        <is>
          <t>International</t>
        </is>
      </c>
      <c r="C459" s="35" t="inlineStr">
        <is>
          <t>Geopolitique</t>
        </is>
      </c>
      <c r="D459" s="36" t="n">
        <v>45</v>
      </c>
      <c r="E459" s="36" t="inlineStr">
        <is>
          <t>N</t>
        </is>
      </c>
      <c r="F459" s="35" t="inlineStr">
        <is>
          <t>Média public suisse, réputé pour neutralité et objectivité factuelle.</t>
        </is>
      </c>
      <c r="G459" s="36" t="inlineStr">
        <is>
          <t>Oui</t>
        </is>
      </c>
      <c r="H459" s="35" t="inlineStr">
        <is>
          <t>Accusation de double standard et de biais par un commentaire.</t>
        </is>
      </c>
      <c r="I459" s="36" t="n">
        <v>1</v>
      </c>
      <c r="J459" s="36" t="n">
        <v>2</v>
      </c>
      <c r="K459" s="74">
        <f>IFERROR(I459/J459,0)</f>
        <v/>
      </c>
      <c r="L459" s="36" t="n">
        <v>86</v>
      </c>
      <c r="M459" s="36" t="n">
        <v>1630</v>
      </c>
      <c r="N459" s="36" t="n">
        <v>0</v>
      </c>
      <c r="O459" s="35" t="inlineStr">
        <is>
          <t>Image_Carrousel</t>
        </is>
      </c>
    </row>
    <row r="460" ht="13.5" customHeight="1" s="109">
      <c r="A460" s="72" t="inlineStr">
        <is>
          <t>https://www.instagram.com/p/DU4280lCHQm/</t>
        </is>
      </c>
      <c r="B460" s="72" t="inlineStr">
        <is>
          <t>Economie &amp; Travail</t>
        </is>
      </c>
      <c r="C460" s="72" t="inlineStr">
        <is>
          <t>Consommation</t>
        </is>
      </c>
      <c r="D460" s="73" t="n">
        <v>40</v>
      </c>
      <c r="E460" s="73" t="inlineStr">
        <is>
          <t>N</t>
        </is>
      </c>
      <c r="F460" s="72" t="inlineStr">
        <is>
          <t>Média de service public, réputé neutre avec légère inclination G.</t>
        </is>
      </c>
      <c r="G460" s="73" t="inlineStr">
        <is>
          <t>Oui</t>
        </is>
      </c>
      <c r="H460" s="72" t="inlineStr">
        <is>
          <t>Média critiqué pour l'usage de l'écriture inclusive jugée peu lisible.</t>
        </is>
      </c>
      <c r="I460" s="73" t="n">
        <v>1</v>
      </c>
      <c r="J460" s="73" t="n">
        <v>8</v>
      </c>
      <c r="K460" s="74">
        <f>IFERROR(I460/J460,0)</f>
        <v/>
      </c>
      <c r="L460" s="73" t="n">
        <v>71</v>
      </c>
      <c r="M460" s="73" t="n">
        <v>3580</v>
      </c>
      <c r="N460" s="73" t="n">
        <v>0</v>
      </c>
      <c r="O460" s="72" t="inlineStr">
        <is>
          <t>Image_Carrousel</t>
        </is>
      </c>
    </row>
    <row r="461" ht="13.5" customHeight="1" s="109">
      <c r="A461" s="35" t="inlineStr">
        <is>
          <t>https://www.instagram.com/p/DU5gKt4AoFA/</t>
        </is>
      </c>
      <c r="B461" s="35" t="inlineStr">
        <is>
          <t>Sante</t>
        </is>
      </c>
      <c r="C461" s="35" t="inlineStr">
        <is>
          <t>Sante publique</t>
        </is>
      </c>
      <c r="D461" s="36" t="n">
        <v>45</v>
      </c>
      <c r="E461" s="36" t="inlineStr">
        <is>
          <t>N</t>
        </is>
      </c>
      <c r="F461" s="35" t="inlineStr">
        <is>
          <t>RTS Info, média public, rapporte science objectivement pour public.</t>
        </is>
      </c>
      <c r="G461" s="36" t="inlineStr">
        <is>
          <t>Non</t>
        </is>
      </c>
      <c r="H461" s="35" t="n"/>
      <c r="I461" s="36" t="n">
        <v>0</v>
      </c>
      <c r="J461" s="36" t="n">
        <v>6</v>
      </c>
      <c r="K461" s="74">
        <f>IFERROR(I461/J461,0)</f>
        <v/>
      </c>
      <c r="L461" s="36" t="n">
        <v>20</v>
      </c>
      <c r="M461" s="36" t="n">
        <v>2650</v>
      </c>
      <c r="N461" s="36" t="n">
        <v>0</v>
      </c>
      <c r="O461" s="35" t="inlineStr">
        <is>
          <t>Image_Carrousel</t>
        </is>
      </c>
    </row>
    <row r="462" ht="13.5" customHeight="1" s="109">
      <c r="A462" s="72" t="inlineStr">
        <is>
          <t>https://www.instagram.com/p/DU6JWnJD2vQ/</t>
        </is>
      </c>
      <c r="B462" s="72" t="inlineStr">
        <is>
          <t>International</t>
        </is>
      </c>
      <c r="C462" s="72" t="inlineStr">
        <is>
          <t>Geopolitique</t>
        </is>
      </c>
      <c r="D462" s="73" t="n">
        <v>45</v>
      </c>
      <c r="E462" s="73" t="inlineStr">
        <is>
          <t>N</t>
        </is>
      </c>
      <c r="F462" s="72" t="inlineStr">
        <is>
          <t>RTSinfo rapporte les faits sur la tech chinoise sans biais apparent.</t>
        </is>
      </c>
      <c r="G462" s="73" t="inlineStr">
        <is>
          <t>Oui</t>
        </is>
      </c>
      <c r="H462" s="72" t="inlineStr">
        <is>
          <t>Un commentaire accuse RTS de partialité sur un autre sujet.</t>
        </is>
      </c>
      <c r="I462" s="73" t="n">
        <v>1</v>
      </c>
      <c r="J462" s="73" t="n">
        <v>10</v>
      </c>
      <c r="K462" s="74">
        <f>IFERROR(I462/J462,0)</f>
        <v/>
      </c>
      <c r="L462" s="73" t="n">
        <v>54</v>
      </c>
      <c r="M462" s="73" t="n">
        <v>1300</v>
      </c>
      <c r="N462" s="73" t="n">
        <v>39177</v>
      </c>
      <c r="O462" s="72" t="inlineStr">
        <is>
          <t>Video</t>
        </is>
      </c>
    </row>
    <row r="463" ht="13.5" customHeight="1" s="109">
      <c r="A463" s="35" t="inlineStr">
        <is>
          <t>https://www.instagram.com/p/DU56y8nDF4y/</t>
        </is>
      </c>
      <c r="B463" s="35" t="inlineStr">
        <is>
          <t>Societe &amp; Droits</t>
        </is>
      </c>
      <c r="C463" s="35" t="inlineStr">
        <is>
          <t>Faits de societe</t>
        </is>
      </c>
      <c r="D463" s="36" t="n">
        <v>50</v>
      </c>
      <c r="E463" s="36" t="inlineStr">
        <is>
          <t>N</t>
        </is>
      </c>
      <c r="F463" s="35" t="inlineStr">
        <is>
          <t>Média de service public, vise la neutralité et couvre un large éventail de sujets.</t>
        </is>
      </c>
      <c r="G463" s="36" t="inlineStr">
        <is>
          <t>Non</t>
        </is>
      </c>
      <c r="H463" s="35" t="inlineStr">
        <is>
          <t>Aucun reproche direct fait au média ou à son traitement de l'information.</t>
        </is>
      </c>
      <c r="I463" s="36" t="n">
        <v>0</v>
      </c>
      <c r="J463" s="36" t="n">
        <v>10</v>
      </c>
      <c r="K463" s="74">
        <f>IFERROR(I463/J463,0)</f>
        <v/>
      </c>
      <c r="L463" s="36" t="n">
        <v>26</v>
      </c>
      <c r="M463" s="36" t="n">
        <v>-1</v>
      </c>
      <c r="N463" s="36" t="n">
        <v>0</v>
      </c>
      <c r="O463" s="35" t="inlineStr">
        <is>
          <t>Image_Carrousel</t>
        </is>
      </c>
    </row>
    <row r="464" ht="13.5" customHeight="1" s="109">
      <c r="A464" s="72" t="inlineStr">
        <is>
          <t>https://www.instagram.com/p/DU5O96Sib4r/</t>
        </is>
      </c>
      <c r="B464" s="72" t="inlineStr">
        <is>
          <t>Culture &amp; Loisirs</t>
        </is>
      </c>
      <c r="C464" s="72" t="inlineStr">
        <is>
          <t>Arts</t>
        </is>
      </c>
      <c r="D464" s="73" t="n">
        <v>50</v>
      </c>
      <c r="E464" s="73" t="inlineStr">
        <is>
          <t>N</t>
        </is>
      </c>
      <c r="F464" s="72" t="inlineStr">
        <is>
          <t>Rapport factuel sur un événement culturel et traditionnel suisse, sans prise de position.</t>
        </is>
      </c>
      <c r="G464" s="73" t="inlineStr">
        <is>
          <t>Oui</t>
        </is>
      </c>
      <c r="H464" s="72" t="inlineStr">
        <is>
          <t>Accusations de biais et double standard envers la RTS sur un autre sujet.</t>
        </is>
      </c>
      <c r="I464" s="73" t="n">
        <v>2</v>
      </c>
      <c r="J464" s="73" t="n">
        <v>10</v>
      </c>
      <c r="K464" s="74">
        <f>IFERROR(I464/J464,0)</f>
        <v/>
      </c>
      <c r="L464" s="73" t="n">
        <v>11</v>
      </c>
      <c r="M464" s="73" t="n">
        <v>3439</v>
      </c>
      <c r="N464" s="73" t="n">
        <v>0</v>
      </c>
      <c r="O464" s="72" t="inlineStr">
        <is>
          <t>Image_Carrousel</t>
        </is>
      </c>
    </row>
    <row r="465" ht="13.5" customHeight="1" s="109">
      <c r="A465" s="35" t="inlineStr">
        <is>
          <t>https://www.instagram.com/p/DU5ZR5ijzfz/</t>
        </is>
      </c>
      <c r="B465" s="35" t="inlineStr">
        <is>
          <t>Politique &amp; Institutions</t>
        </is>
      </c>
      <c r="C465" s="35" t="inlineStr">
        <is>
          <t>Votations</t>
        </is>
      </c>
      <c r="D465" s="36" t="n">
        <v>50</v>
      </c>
      <c r="E465" s="36" t="inlineStr">
        <is>
          <t>N</t>
        </is>
      </c>
      <c r="F465" s="35" t="inlineStr">
        <is>
          <t>RTS factuel sur décision de justice, ton neutre et équilibré.</t>
        </is>
      </c>
      <c r="G465" s="36" t="inlineStr">
        <is>
          <t>Non</t>
        </is>
      </c>
      <c r="H465" s="35" t="n"/>
      <c r="I465" s="36" t="n">
        <v>0</v>
      </c>
      <c r="J465" s="36" t="n">
        <v>3</v>
      </c>
      <c r="K465" s="74">
        <f>IFERROR(I465/J465,0)</f>
        <v/>
      </c>
      <c r="L465" s="36" t="n">
        <v>40</v>
      </c>
      <c r="M465" s="36" t="n">
        <v>1019</v>
      </c>
      <c r="N465" s="36" t="n">
        <v>0</v>
      </c>
      <c r="O465" s="35" t="inlineStr">
        <is>
          <t>Image_Carrousel</t>
        </is>
      </c>
    </row>
    <row r="466" ht="13.5" customHeight="1" s="109">
      <c r="A466" s="72" t="inlineStr">
        <is>
          <t>https://www.instagram.com/p/DU5nBT9CNuk/</t>
        </is>
      </c>
      <c r="B466" s="72" t="inlineStr">
        <is>
          <t>Economie &amp; Travail</t>
        </is>
      </c>
      <c r="C466" s="72" t="inlineStr">
        <is>
          <t>Marche du travail</t>
        </is>
      </c>
      <c r="D466" s="73" t="n">
        <v>40</v>
      </c>
      <c r="E466" s="73" t="inlineStr">
        <is>
          <t>N</t>
        </is>
      </c>
      <c r="F466" s="72" t="inlineStr">
        <is>
          <t>Reportage factuel sur fermeture d'entreprise, incluant plan social négocié avec syndicat.</t>
        </is>
      </c>
      <c r="G466" s="73" t="inlineStr">
        <is>
          <t>Non</t>
        </is>
      </c>
      <c r="H466" s="72" t="inlineStr">
        <is>
          <t>Aucune critique directe du média par les commentateurs.</t>
        </is>
      </c>
      <c r="I466" s="73" t="n">
        <v>0</v>
      </c>
      <c r="J466" s="73" t="n">
        <v>6</v>
      </c>
      <c r="K466" s="74">
        <f>IFERROR(I466/J466,0)</f>
        <v/>
      </c>
      <c r="L466" s="73" t="n">
        <v>39</v>
      </c>
      <c r="M466" s="73" t="n">
        <v>3198</v>
      </c>
      <c r="N466" s="73" t="n">
        <v>0</v>
      </c>
      <c r="O466" s="72" t="inlineStr">
        <is>
          <t>Image_Carrousel</t>
        </is>
      </c>
    </row>
    <row r="467" ht="13.5" customHeight="1" s="109">
      <c r="A467" s="35" t="inlineStr">
        <is>
          <t>https://www.instagram.com/p/DVAz8CaoJB4/</t>
        </is>
      </c>
      <c r="B467" s="35" t="inlineStr">
        <is>
          <t>Societe &amp; Droits</t>
        </is>
      </c>
      <c r="C467" s="35" t="inlineStr">
        <is>
          <t>Faits de societe</t>
        </is>
      </c>
      <c r="D467" s="36" t="n">
        <v>45</v>
      </c>
      <c r="E467" s="36" t="inlineStr">
        <is>
          <t>N</t>
        </is>
      </c>
      <c r="F467" s="35" t="inlineStr">
        <is>
          <t>Média de service public suisse, cherche neutralité et information factuelle sur événement local.</t>
        </is>
      </c>
      <c r="G467" s="36" t="inlineStr">
        <is>
          <t>Non</t>
        </is>
      </c>
      <c r="H467" s="35" t="inlineStr">
        <is>
          <t>Aucune critique du média ou de son contenu dans les commentaires.</t>
        </is>
      </c>
      <c r="I467" s="36" t="n">
        <v>0</v>
      </c>
      <c r="J467" s="36" t="n">
        <v>5</v>
      </c>
      <c r="K467" s="74">
        <f>IFERROR(I467/J467,0)</f>
        <v/>
      </c>
      <c r="L467" s="36" t="n">
        <v>28</v>
      </c>
      <c r="M467" s="36" t="n">
        <v>4230</v>
      </c>
      <c r="N467" s="36" t="n">
        <v>0</v>
      </c>
      <c r="O467" s="35" t="inlineStr">
        <is>
          <t>Image_Carrousel</t>
        </is>
      </c>
    </row>
    <row r="468" ht="13.5" customHeight="1" s="109">
      <c r="A468" s="72" t="inlineStr">
        <is>
          <t>https://www.instagram.com/p/DU2ZTo-jAk7/</t>
        </is>
      </c>
      <c r="B468" s="72" t="inlineStr">
        <is>
          <t>Securite &amp; Justice</t>
        </is>
      </c>
      <c r="C468" s="72" t="inlineStr">
        <is>
          <t>Ordre public</t>
        </is>
      </c>
      <c r="D468" s="73" t="n">
        <v>50</v>
      </c>
      <c r="E468" s="73" t="inlineStr">
        <is>
          <t>N</t>
        </is>
      </c>
      <c r="F468" s="72" t="inlineStr">
        <is>
          <t>Article factuel d'un média de service public, vise la neutralité.</t>
        </is>
      </c>
      <c r="G468" s="73" t="inlineStr">
        <is>
          <t>Oui</t>
        </is>
      </c>
      <c r="H468" s="72" t="inlineStr">
        <is>
          <t>Informations jugées incomplètes par un commentateur.</t>
        </is>
      </c>
      <c r="I468" s="73" t="n">
        <v>1</v>
      </c>
      <c r="J468" s="73" t="n">
        <v>7</v>
      </c>
      <c r="K468" s="74">
        <f>IFERROR(I468/J468,0)</f>
        <v/>
      </c>
      <c r="L468" s="73" t="n">
        <v>70</v>
      </c>
      <c r="M468" s="73" t="n">
        <v>4925</v>
      </c>
      <c r="N468" s="73" t="n">
        <v>0</v>
      </c>
      <c r="O468" s="72" t="inlineStr">
        <is>
          <t>Image_Carrousel</t>
        </is>
      </c>
    </row>
    <row r="469" ht="13.5" customHeight="1" s="109">
      <c r="A469" s="35" t="inlineStr">
        <is>
          <t>https://www.instagram.com/p/DU3koi5jxFM/</t>
        </is>
      </c>
      <c r="B469" s="35" t="inlineStr">
        <is>
          <t>Securite &amp; Justice</t>
        </is>
      </c>
      <c r="C469" s="35" t="inlineStr">
        <is>
          <t>Justice</t>
        </is>
      </c>
      <c r="D469" s="36" t="n">
        <v>45</v>
      </c>
      <c r="E469" s="36" t="inlineStr">
        <is>
          <t>N</t>
        </is>
      </c>
      <c r="F469" s="35" t="inlineStr">
        <is>
          <t>Média public suisse, ton neutre et empathique sur un fait divers grave.</t>
        </is>
      </c>
      <c r="G469" s="36" t="inlineStr">
        <is>
          <t>Non</t>
        </is>
      </c>
      <c r="H469" s="35" t="inlineStr">
        <is>
          <t>Aucune critique explicite du traitement médiatique par les commentateurs.</t>
        </is>
      </c>
      <c r="I469" s="36" t="n">
        <v>0</v>
      </c>
      <c r="J469" s="36" t="n">
        <v>7</v>
      </c>
      <c r="K469" s="74">
        <f>IFERROR(I469/J469,0)</f>
        <v/>
      </c>
      <c r="L469" s="36" t="n">
        <v>514</v>
      </c>
      <c r="M469" s="36" t="n">
        <v>33582</v>
      </c>
      <c r="N469" s="36" t="n">
        <v>401891</v>
      </c>
      <c r="O469" s="35" t="inlineStr">
        <is>
          <t>Video</t>
        </is>
      </c>
    </row>
    <row r="470" ht="13.5" customHeight="1" s="109">
      <c r="A470" s="72" t="inlineStr">
        <is>
          <t>https://www.instagram.com/p/DU0i7qQAhro/</t>
        </is>
      </c>
      <c r="B470" s="72" t="inlineStr">
        <is>
          <t>Culture &amp; Loisirs</t>
        </is>
      </c>
      <c r="C470" s="72" t="inlineStr">
        <is>
          <t>Sport</t>
        </is>
      </c>
      <c r="D470" s="73" t="n">
        <v>50</v>
      </c>
      <c r="E470" s="73" t="inlineStr">
        <is>
          <t>N</t>
        </is>
      </c>
      <c r="F470" s="72" t="inlineStr">
        <is>
          <t>RTS, service public, généralement neutre et factuel dans son reporting sportif.</t>
        </is>
      </c>
      <c r="G470" s="73" t="inlineStr">
        <is>
          <t>Non</t>
        </is>
      </c>
      <c r="H470" s="72" t="n"/>
      <c r="I470" s="73" t="n">
        <v>0</v>
      </c>
      <c r="J470" s="73" t="n">
        <v>10</v>
      </c>
      <c r="K470" s="74">
        <f>IFERROR(I470/J470,0)</f>
        <v/>
      </c>
      <c r="L470" s="73" t="n">
        <v>56</v>
      </c>
      <c r="M470" s="73" t="n">
        <v>8687</v>
      </c>
      <c r="N470" s="73" t="n">
        <v>0</v>
      </c>
      <c r="O470" s="72" t="inlineStr">
        <is>
          <t>Image_Carrousel</t>
        </is>
      </c>
    </row>
    <row r="471" ht="13.5" customHeight="1" s="109">
      <c r="A471" s="35" t="inlineStr">
        <is>
          <t>https://www.instagram.com/p/DVD6LluiNJB/</t>
        </is>
      </c>
      <c r="B471" s="35" t="inlineStr">
        <is>
          <t>International</t>
        </is>
      </c>
      <c r="C471" s="35" t="inlineStr">
        <is>
          <t>Geopolitique</t>
        </is>
      </c>
      <c r="D471" s="36" t="n">
        <v>50</v>
      </c>
      <c r="E471" s="36" t="inlineStr">
        <is>
          <t>N</t>
        </is>
      </c>
      <c r="F471" s="35" t="inlineStr">
        <is>
          <t>Reportage factuel et équilibré des propos controversés et des réactions internationales.</t>
        </is>
      </c>
      <c r="G471" s="36" t="inlineStr">
        <is>
          <t>Non</t>
        </is>
      </c>
      <c r="H471" s="35" t="inlineStr">
        <is>
          <t>Aucune critique du media.</t>
        </is>
      </c>
      <c r="I471" s="36" t="n">
        <v>0</v>
      </c>
      <c r="J471" s="36" t="n">
        <v>4</v>
      </c>
      <c r="K471" s="74">
        <f>IFERROR(I471/J471,0)</f>
        <v/>
      </c>
      <c r="L471" s="36" t="n">
        <v>212</v>
      </c>
      <c r="M471" s="36" t="n">
        <v>1896</v>
      </c>
      <c r="N471" s="36" t="n">
        <v>0</v>
      </c>
      <c r="O471" s="35" t="inlineStr">
        <is>
          <t>Image_Carrousel</t>
        </is>
      </c>
    </row>
    <row r="472" ht="13.5" customHeight="1" s="109">
      <c r="A472" s="72" t="inlineStr">
        <is>
          <t>https://www.instagram.com/p/DU4wFecD4ZX/</t>
        </is>
      </c>
      <c r="B472" s="72" t="inlineStr">
        <is>
          <t>Societe &amp; Droits</t>
        </is>
      </c>
      <c r="C472" s="72" t="inlineStr">
        <is>
          <t>Faits de societe</t>
        </is>
      </c>
      <c r="D472" s="73" t="n">
        <v>45</v>
      </c>
      <c r="E472" s="73" t="inlineStr">
        <is>
          <t>N</t>
        </is>
      </c>
      <c r="F472" s="72" t="inlineStr">
        <is>
          <t>RTS rapporte des faits statistiques sur la pauvreté, mettant en lumière des inégalités sociales.</t>
        </is>
      </c>
      <c r="G472" s="73" t="inlineStr">
        <is>
          <t>Non</t>
        </is>
      </c>
      <c r="H472" s="72" t="inlineStr">
        <is>
          <t>Aucun commentaire ne critique le média directement.</t>
        </is>
      </c>
      <c r="I472" s="73" t="n">
        <v>0</v>
      </c>
      <c r="J472" s="73" t="n">
        <v>3</v>
      </c>
      <c r="K472" s="74">
        <f>IFERROR(I472/J472,0)</f>
        <v/>
      </c>
      <c r="L472" s="73" t="n">
        <v>127</v>
      </c>
      <c r="M472" s="73" t="n">
        <v>2763</v>
      </c>
      <c r="N472" s="73" t="n">
        <v>0</v>
      </c>
      <c r="O472" s="72" t="inlineStr">
        <is>
          <t>Image_Carrousel</t>
        </is>
      </c>
    </row>
    <row r="473" ht="13.5" customHeight="1" s="109">
      <c r="A473" s="35" t="inlineStr">
        <is>
          <t>https://www.instagram.com/p/DU3W4utkmjc/</t>
        </is>
      </c>
      <c r="B473" s="35" t="inlineStr">
        <is>
          <t>Societe &amp; Droits</t>
        </is>
      </c>
      <c r="C473" s="35" t="inlineStr">
        <is>
          <t>Faits de societe</t>
        </is>
      </c>
      <c r="D473" s="36" t="n">
        <v>35</v>
      </c>
      <c r="E473" s="36" t="inlineStr">
        <is>
          <t>G</t>
        </is>
      </c>
      <c r="F473" s="35" t="inlineStr">
        <is>
          <t>Média de service public couvrant une initiative d'aide sociale aux plus démunis.</t>
        </is>
      </c>
      <c r="G473" s="36" t="inlineStr">
        <is>
          <t>Non</t>
        </is>
      </c>
      <c r="H473" s="35" t="inlineStr">
        <is>
          <t>Aucune critique directe du média par les commentateurs.</t>
        </is>
      </c>
      <c r="I473" s="36" t="n">
        <v>0</v>
      </c>
      <c r="J473" s="36" t="n">
        <v>8</v>
      </c>
      <c r="K473" s="74">
        <f>IFERROR(I473/J473,0)</f>
        <v/>
      </c>
      <c r="L473" s="36" t="n">
        <v>44</v>
      </c>
      <c r="M473" s="36" t="n">
        <v>1757</v>
      </c>
      <c r="N473" s="36" t="n">
        <v>22340</v>
      </c>
      <c r="O473" s="35" t="inlineStr">
        <is>
          <t>Video</t>
        </is>
      </c>
    </row>
    <row r="474" ht="13.5" customHeight="1" s="109">
      <c r="A474" s="72" t="inlineStr">
        <is>
          <t>https://www.instagram.com/p/DU2SOMrACG9/</t>
        </is>
      </c>
      <c r="B474" s="72" t="inlineStr">
        <is>
          <t>Politique &amp; Institutions</t>
        </is>
      </c>
      <c r="C474" s="72" t="inlineStr">
        <is>
          <t>Votations</t>
        </is>
      </c>
      <c r="D474" s="73" t="n">
        <v>50</v>
      </c>
      <c r="E474" s="73" t="inlineStr">
        <is>
          <t>N</t>
        </is>
      </c>
      <c r="F474" s="72" t="inlineStr">
        <is>
          <t>Article neutre expliquant une initiative et un contre-projet sur l'argent liquide.</t>
        </is>
      </c>
      <c r="G474" s="73" t="inlineStr">
        <is>
          <t>Oui</t>
        </is>
      </c>
      <c r="H474" s="72" t="inlineStr">
        <is>
          <t>Omissions de détails légaux et choix du sujet sont remis en question.</t>
        </is>
      </c>
      <c r="I474" s="73" t="n">
        <v>3</v>
      </c>
      <c r="J474" s="73" t="n">
        <v>5</v>
      </c>
      <c r="K474" s="74">
        <f>IFERROR(I474/J474,0)</f>
        <v/>
      </c>
      <c r="L474" s="73" t="n">
        <v>109</v>
      </c>
      <c r="M474" s="73" t="n">
        <v>3062</v>
      </c>
      <c r="N474" s="73" t="n">
        <v>0</v>
      </c>
      <c r="O474" s="72" t="inlineStr">
        <is>
          <t>Image_Carrousel</t>
        </is>
      </c>
    </row>
    <row r="475" ht="13.5" customHeight="1" s="109">
      <c r="A475" s="35" t="inlineStr">
        <is>
          <t>https://www.instagram.com/p/DU20eIjkzl0/</t>
        </is>
      </c>
      <c r="B475" s="35" t="inlineStr">
        <is>
          <t>Securite &amp; Justice</t>
        </is>
      </c>
      <c r="C475" s="35" t="inlineStr">
        <is>
          <t>Activites de Police</t>
        </is>
      </c>
      <c r="D475" s="36" t="n">
        <v>45</v>
      </c>
      <c r="E475" s="36" t="inlineStr">
        <is>
          <t>N</t>
        </is>
      </c>
      <c r="F475" s="35" t="inlineStr">
        <is>
          <t>RTS, média public, rapporte l'innovation technologique comme solution de sécurité.</t>
        </is>
      </c>
      <c r="G475" s="36" t="inlineStr">
        <is>
          <t>Non</t>
        </is>
      </c>
      <c r="H475" s="35" t="n"/>
      <c r="I475" s="36" t="n">
        <v>0</v>
      </c>
      <c r="J475" s="36" t="n">
        <v>10</v>
      </c>
      <c r="K475" s="74">
        <f>IFERROR(I475/J475,0)</f>
        <v/>
      </c>
      <c r="L475" s="36" t="n">
        <v>15</v>
      </c>
      <c r="M475" s="36" t="n">
        <v>1251</v>
      </c>
      <c r="N475" s="36" t="n">
        <v>0</v>
      </c>
      <c r="O475" s="35" t="inlineStr">
        <is>
          <t>Image_Carrousel</t>
        </is>
      </c>
    </row>
    <row r="476" ht="13.5" customHeight="1" s="109">
      <c r="A476" s="72" t="inlineStr">
        <is>
          <t>https://www.instagram.com/p/DU3CTIfFpNQ/</t>
        </is>
      </c>
      <c r="B476" s="72" t="inlineStr">
        <is>
          <t>Politique &amp; Institutions</t>
        </is>
      </c>
      <c r="C476" s="72" t="inlineStr">
        <is>
          <t>Autorites</t>
        </is>
      </c>
      <c r="D476" s="73" t="n">
        <v>50</v>
      </c>
      <c r="E476" s="73" t="inlineStr">
        <is>
          <t>N</t>
        </is>
      </c>
      <c r="F476" s="72" t="inlineStr">
        <is>
          <t>Média de service public, vise la neutralité et l'information factuelle sur les pratiques cantonales.</t>
        </is>
      </c>
      <c r="G476" s="73" t="inlineStr">
        <is>
          <t>Non</t>
        </is>
      </c>
      <c r="H476" s="72" t="n"/>
      <c r="I476" s="73" t="n">
        <v>0</v>
      </c>
      <c r="J476" s="73" t="n">
        <v>6</v>
      </c>
      <c r="K476" s="74">
        <f>IFERROR(I476/J476,0)</f>
        <v/>
      </c>
      <c r="L476" s="73" t="n">
        <v>55</v>
      </c>
      <c r="M476" s="73" t="n">
        <v>1196</v>
      </c>
      <c r="N476" s="73" t="n">
        <v>0</v>
      </c>
      <c r="O476" s="72" t="inlineStr">
        <is>
          <t>Image_Carrousel</t>
        </is>
      </c>
    </row>
    <row r="477" ht="13.5" customHeight="1" s="109">
      <c r="A477" s="35" t="inlineStr">
        <is>
          <t>https://www.instagram.com/p/DU2pBokDKlL/</t>
        </is>
      </c>
      <c r="B477" s="35" t="inlineStr">
        <is>
          <t>Environnement &amp; Nature</t>
        </is>
      </c>
      <c r="C477" s="35" t="inlineStr">
        <is>
          <t>Climat / Ecologie</t>
        </is>
      </c>
      <c r="D477" s="36" t="n">
        <v>45</v>
      </c>
      <c r="E477" s="36" t="inlineStr">
        <is>
          <t>N</t>
        </is>
      </c>
      <c r="F477" s="35" t="inlineStr">
        <is>
          <t>Média public, factuel, informe sur des perturbations dues à la nature.</t>
        </is>
      </c>
      <c r="G477" s="36" t="inlineStr">
        <is>
          <t>Oui</t>
        </is>
      </c>
      <c r="H477" s="35" t="inlineStr">
        <is>
          <t>Critique de gestion des commentaires et rectification d'une inexactitude factuelle.</t>
        </is>
      </c>
      <c r="I477" s="36" t="n">
        <v>2</v>
      </c>
      <c r="J477" s="36" t="n">
        <v>3</v>
      </c>
      <c r="K477" s="74">
        <f>IFERROR(I477/J477,0)</f>
        <v/>
      </c>
      <c r="L477" s="36" t="n">
        <v>17</v>
      </c>
      <c r="M477" s="36" t="n">
        <v>6312</v>
      </c>
      <c r="N477" s="36" t="n">
        <v>0</v>
      </c>
      <c r="O477" s="35" t="inlineStr">
        <is>
          <t>Image_Carrousel</t>
        </is>
      </c>
    </row>
    <row r="478" ht="13.5" customHeight="1" s="109">
      <c r="A478" s="72" t="inlineStr">
        <is>
          <t>https://www.instagram.com/p/DU3dgOhDICG/</t>
        </is>
      </c>
      <c r="B478" s="72" t="inlineStr">
        <is>
          <t>Societe &amp; Droits</t>
        </is>
      </c>
      <c r="C478" s="72" t="inlineStr">
        <is>
          <t>Faits de societe</t>
        </is>
      </c>
      <c r="D478" s="73" t="n">
        <v>45</v>
      </c>
      <c r="E478" s="73" t="inlineStr">
        <is>
          <t>N</t>
        </is>
      </c>
      <c r="F478" s="72" t="inlineStr">
        <is>
          <t>Service public, sujets divers et légers, sans prise de position éditoriale marquée.</t>
        </is>
      </c>
      <c r="G478" s="73" t="inlineStr">
        <is>
          <t>Oui</t>
        </is>
      </c>
      <c r="H478" s="72" t="inlineStr">
        <is>
          <t>Accusation de biais ou de censure du média par un commentaire politique.</t>
        </is>
      </c>
      <c r="I478" s="73" t="n">
        <v>1</v>
      </c>
      <c r="J478" s="73" t="n">
        <v>10</v>
      </c>
      <c r="K478" s="74">
        <f>IFERROR(I478/J478,0)</f>
        <v/>
      </c>
      <c r="L478" s="73" t="n">
        <v>68</v>
      </c>
      <c r="M478" s="73" t="n">
        <v>5240</v>
      </c>
      <c r="N478" s="73" t="n">
        <v>0</v>
      </c>
      <c r="O478" s="72" t="inlineStr">
        <is>
          <t>Image_Carrousel</t>
        </is>
      </c>
    </row>
    <row r="479" ht="13.5" customHeight="1" s="109">
      <c r="A479" s="35" t="inlineStr">
        <is>
          <t>https://www.instagram.com/p/DU0PsMLitG4/</t>
        </is>
      </c>
      <c r="B479" s="35" t="inlineStr">
        <is>
          <t>Culture &amp; Loisirs</t>
        </is>
      </c>
      <c r="C479" s="35" t="inlineStr">
        <is>
          <t>Medias</t>
        </is>
      </c>
      <c r="D479" s="36" t="n">
        <v>48</v>
      </c>
      <c r="E479" s="36" t="inlineStr">
        <is>
          <t>N</t>
        </is>
      </c>
      <c r="F479" s="35" t="inlineStr">
        <is>
          <t>Article informatif sur une tendance médiatique internationale, ton neutre.</t>
        </is>
      </c>
      <c r="G479" s="36" t="inlineStr">
        <is>
          <t>Oui</t>
        </is>
      </c>
      <c r="H479" s="35" t="inlineStr">
        <is>
          <t>Accusation de biais politique et critique de la SSR par un commentaire.</t>
        </is>
      </c>
      <c r="I479" s="36" t="n">
        <v>1</v>
      </c>
      <c r="J479" s="36" t="n">
        <v>6</v>
      </c>
      <c r="K479" s="74">
        <f>IFERROR(I479/J479,0)</f>
        <v/>
      </c>
      <c r="L479" s="36" t="n">
        <v>28</v>
      </c>
      <c r="M479" s="36" t="n">
        <v>989</v>
      </c>
      <c r="N479" s="36" t="n">
        <v>0</v>
      </c>
      <c r="O479" s="35" t="inlineStr">
        <is>
          <t>Image_Carrousel</t>
        </is>
      </c>
    </row>
    <row r="480" ht="13.5" customHeight="1" s="109">
      <c r="A480" s="72" t="inlineStr">
        <is>
          <t>https://www.instagram.com/p/DU3reb9D_wR/</t>
        </is>
      </c>
      <c r="B480" s="72" t="inlineStr">
        <is>
          <t>Societe &amp; Droits</t>
        </is>
      </c>
      <c r="C480" s="72" t="inlineStr">
        <is>
          <t>Faits de societe</t>
        </is>
      </c>
      <c r="D480" s="73" t="n">
        <v>45</v>
      </c>
      <c r="E480" s="73" t="inlineStr">
        <is>
          <t>N</t>
        </is>
      </c>
      <c r="F480" s="72" t="inlineStr">
        <is>
          <t>RTS, média de service public, approche factuelle et neutre du projet.</t>
        </is>
      </c>
      <c r="G480" s="73" t="inlineStr">
        <is>
          <t>Oui</t>
        </is>
      </c>
      <c r="H480" s="72" t="inlineStr">
        <is>
          <t>Accusation de biais sur un sujet distinct (Stefan Renna / vague sioniste).</t>
        </is>
      </c>
      <c r="I480" s="73" t="n">
        <v>1</v>
      </c>
      <c r="J480" s="73" t="n">
        <v>9</v>
      </c>
      <c r="K480" s="74">
        <f>IFERROR(I480/J480,0)</f>
        <v/>
      </c>
      <c r="L480" s="73" t="n">
        <v>63</v>
      </c>
      <c r="M480" s="73" t="n">
        <v>2424</v>
      </c>
      <c r="N480" s="73" t="n">
        <v>0</v>
      </c>
      <c r="O480" s="72" t="inlineStr">
        <is>
          <t>Image_Carrousel</t>
        </is>
      </c>
    </row>
    <row r="481" ht="13.5" customHeight="1" s="109">
      <c r="A481" s="35" t="inlineStr">
        <is>
          <t>https://www.instagram.com/p/DUx699Vgobr/</t>
        </is>
      </c>
      <c r="B481" s="35" t="inlineStr">
        <is>
          <t>Culture &amp; Loisirs</t>
        </is>
      </c>
      <c r="C481" s="35" t="inlineStr">
        <is>
          <t>Sport</t>
        </is>
      </c>
      <c r="D481" s="36" t="n">
        <v>50</v>
      </c>
      <c r="E481" s="36" t="inlineStr">
        <is>
          <t>N</t>
        </is>
      </c>
      <c r="F481" s="35" t="inlineStr">
        <is>
          <t>Article factuel sur une performance sportive sans angle éditorial marqué.</t>
        </is>
      </c>
      <c r="G481" s="36" t="inlineStr">
        <is>
          <t>Oui</t>
        </is>
      </c>
      <c r="H481" s="35" t="inlineStr">
        <is>
          <t>Commentaires questionnant le nombre d'épreuves facilitant les records.</t>
        </is>
      </c>
      <c r="I481" s="36" t="n">
        <v>2</v>
      </c>
      <c r="J481" s="36" t="n">
        <v>5</v>
      </c>
      <c r="K481" s="74">
        <f>IFERROR(I481/J481,0)</f>
        <v/>
      </c>
      <c r="L481" s="36" t="n">
        <v>5</v>
      </c>
      <c r="M481" s="36" t="n">
        <v>2796</v>
      </c>
      <c r="N481" s="36" t="n">
        <v>0</v>
      </c>
      <c r="O481" s="35" t="inlineStr">
        <is>
          <t>Image_Carrousel</t>
        </is>
      </c>
    </row>
    <row r="482" ht="13.5" customHeight="1" s="109">
      <c r="A482" s="72" t="inlineStr">
        <is>
          <t>https://www.instagram.com/p/DU1Gnl3jyfw/</t>
        </is>
      </c>
      <c r="B482" s="72" t="inlineStr">
        <is>
          <t>Culture &amp; Loisirs</t>
        </is>
      </c>
      <c r="C482" s="72" t="inlineStr">
        <is>
          <t>Arts</t>
        </is>
      </c>
      <c r="D482" s="73" t="n">
        <v>45</v>
      </c>
      <c r="E482" s="73" t="inlineStr">
        <is>
          <t>N</t>
        </is>
      </c>
      <c r="F482" s="72" t="inlineStr">
        <is>
          <t>RTS est un média de service public, cherchant neutralité dans ses reportages.</t>
        </is>
      </c>
      <c r="G482" s="73" t="inlineStr">
        <is>
          <t>Oui</t>
        </is>
      </c>
      <c r="H482" s="72" t="inlineStr">
        <is>
          <t>Un commentaire critique le média pour biais perçu et existence institutionnelle.</t>
        </is>
      </c>
      <c r="I482" s="73" t="n">
        <v>1</v>
      </c>
      <c r="J482" s="73" t="n">
        <v>8</v>
      </c>
      <c r="K482" s="74">
        <f>IFERROR(I482/J482,0)</f>
        <v/>
      </c>
      <c r="L482" s="73" t="n">
        <v>65</v>
      </c>
      <c r="M482" s="73" t="n">
        <v>4914</v>
      </c>
      <c r="N482" s="73" t="n">
        <v>0</v>
      </c>
      <c r="O482" s="72" t="inlineStr">
        <is>
          <t>Image_Carrousel</t>
        </is>
      </c>
    </row>
    <row r="483" ht="13.5" customHeight="1" s="109">
      <c r="A483" s="35" t="inlineStr">
        <is>
          <t>https://www.instagram.com/p/DU0_5oIE38Y/</t>
        </is>
      </c>
      <c r="B483" s="35" t="inlineStr">
        <is>
          <t>Culture &amp; Loisirs</t>
        </is>
      </c>
      <c r="C483" s="35" t="inlineStr">
        <is>
          <t>Arts</t>
        </is>
      </c>
      <c r="D483" s="36" t="n">
        <v>50</v>
      </c>
      <c r="E483" s="36" t="inlineStr">
        <is>
          <t>N</t>
        </is>
      </c>
      <c r="F483" s="35" t="inlineStr">
        <is>
          <t>Article factuel sur événement artistique par média public suisse.</t>
        </is>
      </c>
      <c r="G483" s="36" t="inlineStr">
        <is>
          <t>Oui</t>
        </is>
      </c>
      <c r="H483" s="35" t="inlineStr">
        <is>
          <t>Biais éditorial perçu et choix du sujet inapproprié.</t>
        </is>
      </c>
      <c r="I483" s="36" t="n">
        <v>1</v>
      </c>
      <c r="J483" s="36" t="n">
        <v>10</v>
      </c>
      <c r="K483" s="74">
        <f>IFERROR(I483/J483,0)</f>
        <v/>
      </c>
      <c r="L483" s="36" t="n">
        <v>13</v>
      </c>
      <c r="M483" s="36" t="n">
        <v>2480</v>
      </c>
      <c r="N483" s="36" t="n">
        <v>58944</v>
      </c>
      <c r="O483" s="35" t="inlineStr">
        <is>
          <t>Video</t>
        </is>
      </c>
    </row>
    <row r="484" ht="13.5" customHeight="1" s="109">
      <c r="A484" s="72" t="inlineStr">
        <is>
          <t>https://www.instagram.com/p/DU0GvLXDRZG/</t>
        </is>
      </c>
      <c r="B484" s="72" t="inlineStr">
        <is>
          <t>Environnement &amp; Nature</t>
        </is>
      </c>
      <c r="C484" s="72" t="inlineStr">
        <is>
          <t>Climat / Ecologie</t>
        </is>
      </c>
      <c r="D484" s="73" t="n">
        <v>45</v>
      </c>
      <c r="E484" s="73" t="inlineStr">
        <is>
          <t>N</t>
        </is>
      </c>
      <c r="F484" s="72" t="inlineStr">
        <is>
          <t>RTS, service public. Reportage factuel et objectif. Ligne éditoriale plutôt neutre.</t>
        </is>
      </c>
      <c r="G484" s="73" t="inlineStr">
        <is>
          <t>Oui</t>
        </is>
      </c>
      <c r="H484" s="72" t="inlineStr">
        <is>
          <t>Accusation de biais éditorial et de 'deux poids, deux mesures' envers RTS.</t>
        </is>
      </c>
      <c r="I484" s="73" t="n">
        <v>1</v>
      </c>
      <c r="J484" s="73" t="n">
        <v>7</v>
      </c>
      <c r="K484" s="74">
        <f>IFERROR(I484/J484,0)</f>
        <v/>
      </c>
      <c r="L484" s="73" t="n">
        <v>8</v>
      </c>
      <c r="M484" s="73" t="n">
        <v>3432</v>
      </c>
      <c r="N484" s="73" t="n">
        <v>0</v>
      </c>
      <c r="O484" s="72" t="inlineStr">
        <is>
          <t>Image_Carrousel</t>
        </is>
      </c>
    </row>
    <row r="485" ht="13.5" customHeight="1" s="109">
      <c r="A485" s="35" t="inlineStr">
        <is>
          <t>https://www.instagram.com/p/DU045feE1QW/</t>
        </is>
      </c>
      <c r="B485" s="35" t="inlineStr">
        <is>
          <t>Securite &amp; Justice</t>
        </is>
      </c>
      <c r="C485" s="35" t="inlineStr">
        <is>
          <t>Justice</t>
        </is>
      </c>
      <c r="D485" s="36" t="n">
        <v>50</v>
      </c>
      <c r="E485" s="36" t="inlineStr">
        <is>
          <t>N</t>
        </is>
      </c>
      <c r="F485" s="35" t="inlineStr">
        <is>
          <t>RTSinfo, service public, vise l'impartialité dans son traitement de l'information.</t>
        </is>
      </c>
      <c r="G485" s="36" t="inlineStr">
        <is>
          <t>Non</t>
        </is>
      </c>
      <c r="H485" s="35" t="n"/>
      <c r="I485" s="36" t="n">
        <v>0</v>
      </c>
      <c r="J485" s="36" t="n">
        <v>0</v>
      </c>
      <c r="K485" s="74">
        <f>IFERROR(I485/J485,0)</f>
        <v/>
      </c>
      <c r="L485" s="36" t="n">
        <v>515</v>
      </c>
      <c r="M485" s="36" t="n">
        <v>2252</v>
      </c>
      <c r="N485" s="36" t="n">
        <v>0</v>
      </c>
      <c r="O485" s="35" t="inlineStr">
        <is>
          <t>Image_Carrousel</t>
        </is>
      </c>
    </row>
    <row r="486" ht="13.5" customHeight="1" s="109">
      <c r="A486" s="72" t="inlineStr">
        <is>
          <t>https://www.instagram.com/p/DU0449RASHG/</t>
        </is>
      </c>
      <c r="B486" s="72" t="inlineStr">
        <is>
          <t>Societe &amp; Droits</t>
        </is>
      </c>
      <c r="C486" s="72" t="inlineStr">
        <is>
          <t>Faits de societe</t>
        </is>
      </c>
      <c r="D486" s="73" t="n">
        <v>40</v>
      </c>
      <c r="E486" s="73" t="inlineStr">
        <is>
          <t>N</t>
        </is>
      </c>
      <c r="F486" s="72" t="inlineStr">
        <is>
          <t>RTS rapporte le blocage d'une interdiction jugée illégale, alignant sur droits individuels.</t>
        </is>
      </c>
      <c r="G486" s="73" t="inlineStr">
        <is>
          <t>Non</t>
        </is>
      </c>
      <c r="H486" s="72" t="n"/>
      <c r="I486" s="73" t="n">
        <v>0</v>
      </c>
      <c r="J486" s="73" t="n">
        <v>0</v>
      </c>
      <c r="K486" s="74">
        <f>IFERROR(I486/J486,0)</f>
        <v/>
      </c>
      <c r="L486" s="73" t="n">
        <v>459</v>
      </c>
      <c r="M486" s="73" t="n">
        <v>5579</v>
      </c>
      <c r="N486" s="73" t="n">
        <v>0</v>
      </c>
      <c r="O486" s="72" t="inlineStr">
        <is>
          <t>Image_Carrousel</t>
        </is>
      </c>
    </row>
    <row r="487" ht="13.5" customHeight="1" s="109">
      <c r="A487" s="35" t="inlineStr">
        <is>
          <t>https://www.instagram.com/p/DU0zywWDOa6/</t>
        </is>
      </c>
      <c r="B487" s="35" t="inlineStr">
        <is>
          <t>Politique &amp; Institutions</t>
        </is>
      </c>
      <c r="C487" s="35" t="inlineStr">
        <is>
          <t>Votations</t>
        </is>
      </c>
      <c r="D487" s="36" t="n">
        <v>40</v>
      </c>
      <c r="E487" s="36" t="inlineStr">
        <is>
          <t>N</t>
        </is>
      </c>
      <c r="F487" s="35" t="inlineStr">
        <is>
          <t>Média public suisse, couverture factuelle et explicative d'une votation.</t>
        </is>
      </c>
      <c r="G487" s="36" t="inlineStr">
        <is>
          <t>Oui</t>
        </is>
      </c>
      <c r="H487" s="35" t="inlineStr">
        <is>
          <t>Manque de couverture sur d'autres initiatives importantes.</t>
        </is>
      </c>
      <c r="I487" s="36" t="n">
        <v>1</v>
      </c>
      <c r="J487" s="36" t="n">
        <v>5</v>
      </c>
      <c r="K487" s="74">
        <f>IFERROR(I487/J487,0)</f>
        <v/>
      </c>
      <c r="L487" s="36" t="n">
        <v>409</v>
      </c>
      <c r="M487" s="36" t="n">
        <v>5066</v>
      </c>
      <c r="N487" s="36" t="n">
        <v>0</v>
      </c>
      <c r="O487" s="35" t="inlineStr">
        <is>
          <t>Image_Carrousel</t>
        </is>
      </c>
    </row>
    <row r="488" ht="13.5" customHeight="1" s="109">
      <c r="A488" s="72" t="inlineStr">
        <is>
          <t>https://www.instagram.com/p/DU0WkVqDLEi/</t>
        </is>
      </c>
      <c r="B488" s="72" t="inlineStr">
        <is>
          <t>Societe &amp; Droits</t>
        </is>
      </c>
      <c r="C488" s="72" t="inlineStr">
        <is>
          <t>Faits de societe</t>
        </is>
      </c>
      <c r="D488" s="73" t="n">
        <v>50</v>
      </c>
      <c r="E488" s="73" t="inlineStr">
        <is>
          <t>N</t>
        </is>
      </c>
      <c r="F488" s="72" t="inlineStr">
        <is>
          <t>RTS est un média de service public suisse, impartial et factuel dans ses reportages.</t>
        </is>
      </c>
      <c r="G488" s="73" t="inlineStr">
        <is>
          <t>Non</t>
        </is>
      </c>
      <c r="H488" s="72" t="n"/>
      <c r="I488" s="73" t="n">
        <v>0</v>
      </c>
      <c r="J488" s="73" t="n">
        <v>3</v>
      </c>
      <c r="K488" s="74">
        <f>IFERROR(I488/J488,0)</f>
        <v/>
      </c>
      <c r="L488" s="73" t="n">
        <v>31</v>
      </c>
      <c r="M488" s="73" t="n">
        <v>8253</v>
      </c>
      <c r="N488" s="73" t="n">
        <v>0</v>
      </c>
      <c r="O488" s="72" t="inlineStr">
        <is>
          <t>Image_Carrousel</t>
        </is>
      </c>
    </row>
    <row r="489" ht="13.5" customHeight="1" s="109">
      <c r="A489" s="35" t="inlineStr">
        <is>
          <t>https://www.instagram.com/p/DU27WtzAdxL/</t>
        </is>
      </c>
      <c r="B489" s="35" t="inlineStr">
        <is>
          <t>Societe &amp; Droits</t>
        </is>
      </c>
      <c r="C489" s="35" t="inlineStr">
        <is>
          <t>Education</t>
        </is>
      </c>
      <c r="D489" s="36" t="n">
        <v>45</v>
      </c>
      <c r="E489" s="36" t="inlineStr">
        <is>
          <t>N</t>
        </is>
      </c>
      <c r="F489" s="35" t="inlineStr">
        <is>
          <t>Reportage factuel, mettant l'accent sur la prévention et l'action gouvernementale.</t>
        </is>
      </c>
      <c r="G489" s="36" t="inlineStr">
        <is>
          <t>Non</t>
        </is>
      </c>
      <c r="H489" s="35" t="n"/>
      <c r="I489" s="36" t="n">
        <v>0</v>
      </c>
      <c r="J489" s="36" t="n">
        <v>6</v>
      </c>
      <c r="K489" s="74">
        <f>IFERROR(I489/J489,0)</f>
        <v/>
      </c>
      <c r="L489" s="36" t="n">
        <v>189</v>
      </c>
      <c r="M489" s="36" t="n">
        <v>5503</v>
      </c>
      <c r="N489" s="36" t="n">
        <v>0</v>
      </c>
      <c r="O489" s="35" t="inlineStr">
        <is>
          <t>Image_Carrousel</t>
        </is>
      </c>
    </row>
    <row r="490" ht="13.5" customHeight="1" s="109">
      <c r="A490" s="72" t="inlineStr">
        <is>
          <t>https://www.instagram.com/p/DU1GniIDPbQ/</t>
        </is>
      </c>
      <c r="B490" s="72" t="inlineStr">
        <is>
          <t>Securite &amp; Justice</t>
        </is>
      </c>
      <c r="C490" s="72" t="inlineStr">
        <is>
          <t>Justice</t>
        </is>
      </c>
      <c r="D490" s="73" t="n">
        <v>50</v>
      </c>
      <c r="E490" s="73" t="inlineStr">
        <is>
          <t>N</t>
        </is>
      </c>
      <c r="F490" s="72" t="inlineStr">
        <is>
          <t>RTS, service public, rapporte des faits de justice sans angle politique marqué.</t>
        </is>
      </c>
      <c r="G490" s="73" t="inlineStr">
        <is>
          <t>Oui</t>
        </is>
      </c>
      <c r="H490" s="72" t="inlineStr">
        <is>
          <t>Un commentaire accuse le média de 'clicbait'.</t>
        </is>
      </c>
      <c r="I490" s="73" t="n">
        <v>1</v>
      </c>
      <c r="J490" s="73" t="n">
        <v>6</v>
      </c>
      <c r="K490" s="74">
        <f>IFERROR(I490/J490,0)</f>
        <v/>
      </c>
      <c r="L490" s="73" t="n">
        <v>224</v>
      </c>
      <c r="M490" s="73" t="n">
        <v>7359</v>
      </c>
      <c r="N490" s="73" t="n">
        <v>0</v>
      </c>
      <c r="O490" s="72" t="inlineStr">
        <is>
          <t>Image_Carrousel</t>
        </is>
      </c>
    </row>
    <row r="491" ht="13.5" customHeight="1" s="109">
      <c r="A491" s="35" t="inlineStr">
        <is>
          <t>https://www.instagram.com/p/DU0drvMjPYW/</t>
        </is>
      </c>
      <c r="B491" s="35" t="inlineStr">
        <is>
          <t>Politique &amp; Institutions</t>
        </is>
      </c>
      <c r="C491" s="35" t="inlineStr">
        <is>
          <t>Votations</t>
        </is>
      </c>
      <c r="D491" s="36" t="n">
        <v>50</v>
      </c>
      <c r="E491" s="36" t="inlineStr">
        <is>
          <t>N</t>
        </is>
      </c>
      <c r="F491" s="35" t="inlineStr">
        <is>
          <t>RTS, service public, explication neutre d'une votation fédérale.</t>
        </is>
      </c>
      <c r="G491" s="36" t="inlineStr">
        <is>
          <t>Non</t>
        </is>
      </c>
      <c r="H491" s="35" t="inlineStr">
        <is>
          <t>Aucune critique du media.</t>
        </is>
      </c>
      <c r="I491" s="36" t="n">
        <v>0</v>
      </c>
      <c r="J491" s="36" t="n">
        <v>4</v>
      </c>
      <c r="K491" s="74">
        <f>IFERROR(I491/J491,0)</f>
        <v/>
      </c>
      <c r="L491" s="36" t="n">
        <v>307</v>
      </c>
      <c r="M491" s="36" t="n">
        <v>11751</v>
      </c>
      <c r="N491" s="36" t="n">
        <v>0</v>
      </c>
      <c r="O491" s="35" t="inlineStr">
        <is>
          <t>Image_Carrousel</t>
        </is>
      </c>
    </row>
    <row r="492" ht="13.5" customHeight="1" s="109">
      <c r="A492" s="72" t="inlineStr">
        <is>
          <t>https://www.instagram.com/p/DU0FYmJj7SH/</t>
        </is>
      </c>
      <c r="B492" s="72" t="inlineStr">
        <is>
          <t>Environnement &amp; Nature</t>
        </is>
      </c>
      <c r="C492" s="72" t="inlineStr">
        <is>
          <t>Climat / Ecologie</t>
        </is>
      </c>
      <c r="D492" s="73" t="n">
        <v>40</v>
      </c>
      <c r="E492" s="73" t="inlineStr">
        <is>
          <t>N</t>
        </is>
      </c>
      <c r="F492" s="72" t="inlineStr">
        <is>
          <t>Média de service public, vise neutralité mais perçu légèrement à gauche.</t>
        </is>
      </c>
      <c r="G492" s="73" t="inlineStr">
        <is>
          <t>Oui</t>
        </is>
      </c>
      <c r="H492" s="72" t="inlineStr">
        <is>
          <t>Accusation de biais éditorial ('deux poids, deux mesures').</t>
        </is>
      </c>
      <c r="I492" s="73" t="n">
        <v>1</v>
      </c>
      <c r="J492" s="73" t="n">
        <v>8</v>
      </c>
      <c r="K492" s="74">
        <f>IFERROR(I492/J492,0)</f>
        <v/>
      </c>
      <c r="L492" s="73" t="n">
        <v>36</v>
      </c>
      <c r="M492" s="73" t="n">
        <v>13753</v>
      </c>
      <c r="N492" s="73" t="n">
        <v>0</v>
      </c>
      <c r="O492" s="72" t="inlineStr">
        <is>
          <t>Image_Carrousel</t>
        </is>
      </c>
    </row>
    <row r="493" ht="13.5" customHeight="1" s="109">
      <c r="A493" s="35" t="inlineStr">
        <is>
          <t>https://www.instagram.com/p/DUz85VvDJHL/</t>
        </is>
      </c>
      <c r="B493" s="35" t="inlineStr">
        <is>
          <t>Securite &amp; Justice</t>
        </is>
      </c>
      <c r="C493" s="35" t="inlineStr">
        <is>
          <t>Ordre public</t>
        </is>
      </c>
      <c r="D493" s="36" t="n">
        <v>50</v>
      </c>
      <c r="E493" s="36" t="inlineStr">
        <is>
          <t>N</t>
        </is>
      </c>
      <c r="F493" s="35" t="inlineStr">
        <is>
          <t>Média de service public, rapport factuel d'un incident, sans parti pris apparent.</t>
        </is>
      </c>
      <c r="G493" s="36" t="inlineStr">
        <is>
          <t>Non</t>
        </is>
      </c>
      <c r="H493" s="35" t="n"/>
      <c r="I493" s="36" t="n">
        <v>0</v>
      </c>
      <c r="J493" s="36" t="n">
        <v>6</v>
      </c>
      <c r="K493" s="74">
        <f>IFERROR(I493/J493,0)</f>
        <v/>
      </c>
      <c r="L493" s="36" t="n">
        <v>26</v>
      </c>
      <c r="M493" s="36" t="n">
        <v>4159</v>
      </c>
      <c r="N493" s="36" t="n">
        <v>0</v>
      </c>
      <c r="O493" s="35" t="inlineStr">
        <is>
          <t>Image_Carrousel</t>
        </is>
      </c>
    </row>
    <row r="494" ht="13.5" customHeight="1" s="109">
      <c r="A494" s="72" t="inlineStr">
        <is>
          <t>https://www.instagram.com/p/DU2LWERDeWo/</t>
        </is>
      </c>
      <c r="B494" s="72" t="inlineStr">
        <is>
          <t>Politique &amp; Institutions</t>
        </is>
      </c>
      <c r="C494" s="72" t="inlineStr">
        <is>
          <t>Votations</t>
        </is>
      </c>
      <c r="D494" s="73" t="n">
        <v>50</v>
      </c>
      <c r="E494" s="73" t="inlineStr">
        <is>
          <t>N</t>
        </is>
      </c>
      <c r="F494" s="72" t="inlineStr">
        <is>
          <t>RTS, service public, présente le sujet de manière informative et équilibrée.</t>
        </is>
      </c>
      <c r="G494" s="73" t="inlineStr">
        <is>
          <t>Non</t>
        </is>
      </c>
      <c r="H494" s="72" t="n"/>
      <c r="I494" s="73" t="n">
        <v>0</v>
      </c>
      <c r="J494" s="73" t="n">
        <v>3</v>
      </c>
      <c r="K494" s="74">
        <f>IFERROR(I494/J494,0)</f>
        <v/>
      </c>
      <c r="L494" s="73" t="n">
        <v>73</v>
      </c>
      <c r="M494" s="73" t="n">
        <v>1361</v>
      </c>
      <c r="N494" s="73" t="n">
        <v>0</v>
      </c>
      <c r="O494" s="72" t="inlineStr">
        <is>
          <t>Image_Carrousel</t>
        </is>
      </c>
    </row>
    <row r="495" ht="13.5" customHeight="1" s="109">
      <c r="A495" s="35" t="inlineStr">
        <is>
          <t>https://www.instagram.com/p/DUz1MZTDLIq/</t>
        </is>
      </c>
      <c r="B495" s="35" t="inlineStr">
        <is>
          <t>Securite &amp; Justice</t>
        </is>
      </c>
      <c r="C495" s="35" t="inlineStr">
        <is>
          <t>Ordre public</t>
        </is>
      </c>
      <c r="D495" s="36" t="n">
        <v>45</v>
      </c>
      <c r="E495" s="36" t="inlineStr">
        <is>
          <t>N</t>
        </is>
      </c>
      <c r="F495" s="35" t="inlineStr">
        <is>
          <t>Reportage factuel sur un incident impactant l'ordre public et les infrastructures.</t>
        </is>
      </c>
      <c r="G495" s="36" t="inlineStr">
        <is>
          <t>Oui</t>
        </is>
      </c>
      <c r="H495" s="35" t="inlineStr">
        <is>
          <t>Biais perçu dans le traitement médiatique selon les acteurs impliqués.</t>
        </is>
      </c>
      <c r="I495" s="36" t="n">
        <v>2</v>
      </c>
      <c r="J495" s="36" t="n">
        <v>6</v>
      </c>
      <c r="K495" s="74">
        <f>IFERROR(I495/J495,0)</f>
        <v/>
      </c>
      <c r="L495" s="36" t="n">
        <v>104</v>
      </c>
      <c r="M495" s="36" t="n">
        <v>8746</v>
      </c>
      <c r="N495" s="36" t="n">
        <v>0</v>
      </c>
      <c r="O495" s="35" t="inlineStr">
        <is>
          <t>Image_Carrousel</t>
        </is>
      </c>
    </row>
    <row r="496" ht="13.5" customHeight="1" s="109">
      <c r="A496" s="72" t="inlineStr">
        <is>
          <t>https://www.instagram.com/p/DU2uwimjdDz/</t>
        </is>
      </c>
      <c r="B496" s="72" t="inlineStr">
        <is>
          <t>Societe &amp; Droits</t>
        </is>
      </c>
      <c r="C496" s="72" t="inlineStr">
        <is>
          <t>Faits de societe</t>
        </is>
      </c>
      <c r="D496" s="73" t="n">
        <v>40</v>
      </c>
      <c r="E496" s="73" t="inlineStr">
        <is>
          <t>G</t>
        </is>
      </c>
      <c r="F496" s="72" t="inlineStr">
        <is>
          <t>Média public valorisant un défenseur des droits civiques et de l'égalité.</t>
        </is>
      </c>
      <c r="G496" s="73" t="inlineStr">
        <is>
          <t>Non</t>
        </is>
      </c>
      <c r="H496" s="72" t="n"/>
      <c r="I496" s="73" t="n">
        <v>0</v>
      </c>
      <c r="J496" s="73" t="n">
        <v>3</v>
      </c>
      <c r="K496" s="74">
        <f>IFERROR(I496/J496,0)</f>
        <v/>
      </c>
      <c r="L496" s="73" t="n">
        <v>58</v>
      </c>
      <c r="M496" s="73" t="n">
        <v>4971</v>
      </c>
      <c r="N496" s="73" t="n">
        <v>0</v>
      </c>
      <c r="O496" s="72" t="inlineStr">
        <is>
          <t>Image_Carrousel</t>
        </is>
      </c>
    </row>
    <row r="497" ht="13.5" customHeight="1" s="109">
      <c r="A497" s="35" t="inlineStr">
        <is>
          <t>https://www.instagram.com/p/DUz0PUXEryD/</t>
        </is>
      </c>
      <c r="B497" s="35" t="inlineStr">
        <is>
          <t>Sante</t>
        </is>
      </c>
      <c r="C497" s="35" t="inlineStr">
        <is>
          <t>Sante publique</t>
        </is>
      </c>
      <c r="D497" s="36" t="n">
        <v>50</v>
      </c>
      <c r="E497" s="36" t="inlineStr">
        <is>
          <t>N</t>
        </is>
      </c>
      <c r="F497" s="35" t="inlineStr">
        <is>
          <t>Rapport factuel et neutre sur une initiative publique valaisanne d'enseignement des premiers secours.</t>
        </is>
      </c>
      <c r="G497" s="36" t="inlineStr">
        <is>
          <t>Oui</t>
        </is>
      </c>
      <c r="H497" s="35" t="inlineStr">
        <is>
          <t>Accusation de biais général du média, 'deux poids deux mesures', et défense de la SSR.</t>
        </is>
      </c>
      <c r="I497" s="36" t="n">
        <v>1</v>
      </c>
      <c r="J497" s="36" t="n">
        <v>9</v>
      </c>
      <c r="K497" s="74">
        <f>IFERROR(I497/J497,0)</f>
        <v/>
      </c>
      <c r="L497" s="36" t="n">
        <v>36</v>
      </c>
      <c r="M497" s="36" t="n">
        <v>4211</v>
      </c>
      <c r="N497" s="36" t="n">
        <v>0</v>
      </c>
      <c r="O497" s="35" t="inlineStr">
        <is>
          <t>Image_Carrousel</t>
        </is>
      </c>
    </row>
    <row r="498" ht="13.5" customHeight="1" s="109">
      <c r="A498" s="72" t="inlineStr">
        <is>
          <t>https://www.instagram.com/p/DUyh1hcAZlY/</t>
        </is>
      </c>
      <c r="B498" s="72" t="inlineStr">
        <is>
          <t>International</t>
        </is>
      </c>
      <c r="C498" s="72" t="inlineStr">
        <is>
          <t>Geopolitique</t>
        </is>
      </c>
      <c r="D498" s="73" t="n">
        <v>40</v>
      </c>
      <c r="E498" s="73" t="inlineStr">
        <is>
          <t>N</t>
        </is>
      </c>
      <c r="F498" s="72" t="inlineStr">
        <is>
          <t>RTS rapporte des accusations internationales contre la Russie sur la mort d'un opposant.</t>
        </is>
      </c>
      <c r="G498" s="73" t="inlineStr">
        <is>
          <t>Oui</t>
        </is>
      </c>
      <c r="H498" s="72" t="inlineStr">
        <is>
          <t>Accusations de biais et de double standard médiatique.</t>
        </is>
      </c>
      <c r="I498" s="73" t="n">
        <v>2</v>
      </c>
      <c r="J498" s="73" t="n">
        <v>10</v>
      </c>
      <c r="K498" s="74">
        <f>IFERROR(I498/J498,0)</f>
        <v/>
      </c>
      <c r="L498" s="73" t="n">
        <v>44</v>
      </c>
      <c r="M498" s="73" t="n">
        <v>2429</v>
      </c>
      <c r="N498" s="73" t="n">
        <v>0</v>
      </c>
      <c r="O498" s="72" t="inlineStr">
        <is>
          <t>Image_Carrousel</t>
        </is>
      </c>
    </row>
    <row r="499" ht="13.5" customHeight="1" s="109">
      <c r="A499" s="35" t="inlineStr">
        <is>
          <t>https://www.instagram.com/p/DUycNWPjnW4/</t>
        </is>
      </c>
      <c r="B499" s="35" t="inlineStr">
        <is>
          <t>Culture &amp; Loisirs</t>
        </is>
      </c>
      <c r="C499" s="35" t="inlineStr">
        <is>
          <t>Arts</t>
        </is>
      </c>
      <c r="D499" s="36" t="n">
        <v>50</v>
      </c>
      <c r="E499" s="36" t="inlineStr">
        <is>
          <t>N</t>
        </is>
      </c>
      <c r="F499" s="35" t="inlineStr">
        <is>
          <t>Média public suisse, vise la neutralité et la diversité culturelle.</t>
        </is>
      </c>
      <c r="G499" s="36" t="inlineStr">
        <is>
          <t>Oui</t>
        </is>
      </c>
      <c r="H499" s="35" t="inlineStr">
        <is>
          <t>Biais éditorial perçu, dénonciation de "deux poids, deux mesures".</t>
        </is>
      </c>
      <c r="I499" s="36" t="n">
        <v>1</v>
      </c>
      <c r="J499" s="36" t="n">
        <v>6</v>
      </c>
      <c r="K499" s="74">
        <f>IFERROR(I499/J499,0)</f>
        <v/>
      </c>
      <c r="L499" s="36" t="n">
        <v>30</v>
      </c>
      <c r="M499" s="36" t="n">
        <v>5889</v>
      </c>
      <c r="N499" s="36" t="n">
        <v>0</v>
      </c>
      <c r="O499" s="35" t="inlineStr">
        <is>
          <t>Image_Carrousel</t>
        </is>
      </c>
    </row>
    <row r="500" ht="13.5" customHeight="1" s="109">
      <c r="A500" s="72" t="inlineStr">
        <is>
          <t>https://www.instagram.com/p/DUyNOYPjFmS/</t>
        </is>
      </c>
      <c r="B500" s="72" t="inlineStr">
        <is>
          <t>Culture &amp; Loisirs</t>
        </is>
      </c>
      <c r="C500" s="72" t="inlineStr">
        <is>
          <t>Arts</t>
        </is>
      </c>
      <c r="D500" s="73" t="n">
        <v>50</v>
      </c>
      <c r="E500" s="73" t="inlineStr">
        <is>
          <t>N</t>
        </is>
      </c>
      <c r="F500" s="72" t="inlineStr">
        <is>
          <t>Reportage factuel sur l'acquisition d'un objet d'art historique par une institution établie.</t>
        </is>
      </c>
      <c r="G500" s="73" t="inlineStr">
        <is>
          <t>Non</t>
        </is>
      </c>
      <c r="H500" s="72" t="n"/>
      <c r="I500" s="73" t="n">
        <v>0</v>
      </c>
      <c r="J500" s="73" t="n">
        <v>9</v>
      </c>
      <c r="K500" s="74">
        <f>IFERROR(I500/J500,0)</f>
        <v/>
      </c>
      <c r="L500" s="73" t="n">
        <v>15</v>
      </c>
      <c r="M500" s="73" t="n">
        <v>4596</v>
      </c>
      <c r="N500" s="73" t="n">
        <v>0</v>
      </c>
      <c r="O500" s="72" t="inlineStr">
        <is>
          <t>Image_Carrousel</t>
        </is>
      </c>
    </row>
    <row r="501" ht="13.5" customHeight="1" s="109">
      <c r="A501" s="35" t="inlineStr">
        <is>
          <t>https://www.instagram.com/p/DUzmkPZjLe1/</t>
        </is>
      </c>
      <c r="B501" s="35" t="inlineStr">
        <is>
          <t>Sante</t>
        </is>
      </c>
      <c r="C501" s="35" t="inlineStr">
        <is>
          <t>Sante publique</t>
        </is>
      </c>
      <c r="D501" s="36" t="n">
        <v>45</v>
      </c>
      <c r="E501" s="36" t="inlineStr">
        <is>
          <t>N</t>
        </is>
      </c>
      <c r="F501" s="35" t="inlineStr">
        <is>
          <t>Reportage informatif sur un trouble complexe, avec témoignages et avis d'experts, favorisant la compréhension.</t>
        </is>
      </c>
      <c r="G501" s="36" t="inlineStr">
        <is>
          <t>Non</t>
        </is>
      </c>
      <c r="H501" s="35" t="inlineStr">
        <is>
          <t>Aucune critique directe du média n'a été relevée dans les commentaires.</t>
        </is>
      </c>
      <c r="I501" s="36" t="n">
        <v>0</v>
      </c>
      <c r="J501" s="36" t="n">
        <v>6</v>
      </c>
      <c r="K501" s="74">
        <f>IFERROR(I501/J501,0)</f>
        <v/>
      </c>
      <c r="L501" s="36" t="n">
        <v>119</v>
      </c>
      <c r="M501" s="36" t="n">
        <v>5029</v>
      </c>
      <c r="N501" s="36" t="n">
        <v>177871</v>
      </c>
      <c r="O501" s="35" t="inlineStr">
        <is>
          <t>Video</t>
        </is>
      </c>
    </row>
    <row r="502" ht="13.5" customHeight="1" s="109">
      <c r="A502" s="72" t="inlineStr">
        <is>
          <t>https://www.instagram.com/p/DUztY08jfKr/</t>
        </is>
      </c>
      <c r="B502" s="72" t="inlineStr">
        <is>
          <t>Sante</t>
        </is>
      </c>
      <c r="C502" s="72" t="inlineStr">
        <is>
          <t>Sante publique</t>
        </is>
      </c>
      <c r="D502" s="73" t="n">
        <v>50</v>
      </c>
      <c r="E502" s="73" t="inlineStr">
        <is>
          <t>N</t>
        </is>
      </c>
      <c r="F502" s="72" t="inlineStr">
        <is>
          <t>Factuel, expose un problème de consommation et de réglementation sans parti pris politique.</t>
        </is>
      </c>
      <c r="G502" s="73" t="inlineStr">
        <is>
          <t>Non</t>
        </is>
      </c>
      <c r="H502" s="72" t="inlineStr">
        <is>
          <t>Aucun commentaire ne critique le média ou son approche.</t>
        </is>
      </c>
      <c r="I502" s="73" t="n">
        <v>0</v>
      </c>
      <c r="J502" s="73" t="n">
        <v>7</v>
      </c>
      <c r="K502" s="74">
        <f>IFERROR(I502/J502,0)</f>
        <v/>
      </c>
      <c r="L502" s="73" t="n">
        <v>169</v>
      </c>
      <c r="M502" s="73" t="n">
        <v>3106</v>
      </c>
      <c r="N502" s="73" t="n">
        <v>0</v>
      </c>
      <c r="O502" s="72" t="inlineStr">
        <is>
          <t>Image_Carrousel</t>
        </is>
      </c>
    </row>
    <row r="503" ht="13.5" customHeight="1" s="109">
      <c r="A503" s="35" t="inlineStr">
        <is>
          <t>https://www.instagram.com/p/DUvZ1rAAi60/</t>
        </is>
      </c>
      <c r="B503" s="35" t="inlineStr">
        <is>
          <t>Culture &amp; Loisirs</t>
        </is>
      </c>
      <c r="C503" s="35" t="inlineStr">
        <is>
          <t>Sport</t>
        </is>
      </c>
      <c r="D503" s="36" t="n">
        <v>50</v>
      </c>
      <c r="E503" s="36" t="inlineStr">
        <is>
          <t>N</t>
        </is>
      </c>
      <c r="F503" s="35" t="inlineStr">
        <is>
          <t>RTS célèbre les succès suisses aux JO tout en reconnaissant une performance internationale historique.</t>
        </is>
      </c>
      <c r="G503" s="36" t="inlineStr">
        <is>
          <t>Non</t>
        </is>
      </c>
      <c r="H503" s="35" t="n"/>
      <c r="I503" s="36" t="n">
        <v>0</v>
      </c>
      <c r="J503" s="36" t="n">
        <v>10</v>
      </c>
      <c r="K503" s="74">
        <f>IFERROR(I503/J503,0)</f>
        <v/>
      </c>
      <c r="L503" s="36" t="n">
        <v>112</v>
      </c>
      <c r="M503" s="36" t="n">
        <v>7899</v>
      </c>
      <c r="N503" s="36" t="n">
        <v>0</v>
      </c>
      <c r="O503" s="35" t="inlineStr">
        <is>
          <t>Image_Carrousel</t>
        </is>
      </c>
    </row>
    <row r="504" ht="13.5" customHeight="1" s="109">
      <c r="A504" s="72" t="inlineStr">
        <is>
          <t>https://www.instagram.com/p/DUvmQ6FgiMB/</t>
        </is>
      </c>
      <c r="B504" s="72" t="inlineStr">
        <is>
          <t>Culture &amp; Loisirs</t>
        </is>
      </c>
      <c r="C504" s="72" t="inlineStr">
        <is>
          <t>Sport</t>
        </is>
      </c>
      <c r="D504" s="73" t="n">
        <v>45</v>
      </c>
      <c r="E504" s="73" t="inlineStr">
        <is>
          <t>N</t>
        </is>
      </c>
      <c r="F504" s="72" t="inlineStr">
        <is>
          <t>Média public Suisse (RTS), généralement centriste avec une légère tendance gauche.</t>
        </is>
      </c>
      <c r="G504" s="73" t="inlineStr">
        <is>
          <t>Oui</t>
        </is>
      </c>
      <c r="H504" s="72" t="inlineStr">
        <is>
          <t>Imprécision factuelle sur les médailles d'or masculines.</t>
        </is>
      </c>
      <c r="I504" s="73" t="n">
        <v>1</v>
      </c>
      <c r="J504" s="73" t="n">
        <v>8</v>
      </c>
      <c r="K504" s="74">
        <f>IFERROR(I504/J504,0)</f>
        <v/>
      </c>
      <c r="L504" s="73" t="n">
        <v>55</v>
      </c>
      <c r="M504" s="73" t="n">
        <v>11149</v>
      </c>
      <c r="N504" s="73" t="n">
        <v>0</v>
      </c>
      <c r="O504" s="72" t="inlineStr">
        <is>
          <t>Image_Carrousel</t>
        </is>
      </c>
    </row>
    <row r="505" ht="13.5" customHeight="1" s="109">
      <c r="A505" s="35" t="inlineStr">
        <is>
          <t>https://www.instagram.com/p/DUxx0zJkz5T/</t>
        </is>
      </c>
      <c r="B505" s="35" t="inlineStr">
        <is>
          <t>Environnement &amp; Nature</t>
        </is>
      </c>
      <c r="C505" s="35" t="inlineStr">
        <is>
          <t>Climat / Ecologie</t>
        </is>
      </c>
      <c r="D505" s="36" t="n">
        <v>55</v>
      </c>
      <c r="E505" s="36" t="inlineStr">
        <is>
          <t>N</t>
        </is>
      </c>
      <c r="F505" s="35" t="inlineStr">
        <is>
          <t>RTS, média public, rapporte des faits environnementaux et des mesures étatiques.</t>
        </is>
      </c>
      <c r="G505" s="36" t="inlineStr">
        <is>
          <t>Oui</t>
        </is>
      </c>
      <c r="H505" s="35" t="inlineStr">
        <is>
          <t>Accusations d'hypocrisie et d'incitation à l'extermination d'espèce.</t>
        </is>
      </c>
      <c r="I505" s="36" t="n">
        <v>2</v>
      </c>
      <c r="J505" s="36" t="n">
        <v>4</v>
      </c>
      <c r="K505" s="74">
        <f>IFERROR(I505/J505,0)</f>
        <v/>
      </c>
      <c r="L505" s="36" t="n">
        <v>143</v>
      </c>
      <c r="M505" s="36" t="n">
        <v>2384</v>
      </c>
      <c r="N505" s="36" t="n">
        <v>58751</v>
      </c>
      <c r="O505" s="35" t="inlineStr">
        <is>
          <t>Video</t>
        </is>
      </c>
    </row>
    <row r="506" ht="13.5" customHeight="1" s="109">
      <c r="A506" s="72" t="inlineStr">
        <is>
          <t>https://www.instagram.com/p/DUx4onBj6BG/</t>
        </is>
      </c>
      <c r="B506" s="72" t="inlineStr">
        <is>
          <t>Culture &amp; Loisirs</t>
        </is>
      </c>
      <c r="C506" s="72" t="inlineStr">
        <is>
          <t>Arts</t>
        </is>
      </c>
      <c r="D506" s="73" t="n">
        <v>50</v>
      </c>
      <c r="E506" s="73" t="inlineStr">
        <is>
          <t>N</t>
        </is>
      </c>
      <c r="F506" s="72" t="inlineStr">
        <is>
          <t>Média public suisse, impartial.</t>
        </is>
      </c>
      <c r="G506" s="73" t="inlineStr">
        <is>
          <t>Oui</t>
        </is>
      </c>
      <c r="H506" s="72" t="inlineStr">
        <is>
          <t>Choix du sujet reproché au média pendant les votations.</t>
        </is>
      </c>
      <c r="I506" s="73" t="n">
        <v>1</v>
      </c>
      <c r="J506" s="73" t="n">
        <v>4</v>
      </c>
      <c r="K506" s="74">
        <f>IFERROR(I506/J506,0)</f>
        <v/>
      </c>
      <c r="L506" s="73" t="n">
        <v>6</v>
      </c>
      <c r="M506" s="73" t="n">
        <v>6230</v>
      </c>
      <c r="N506" s="73" t="n">
        <v>0</v>
      </c>
      <c r="O506" s="72" t="inlineStr">
        <is>
          <t>Image_Carrousel</t>
        </is>
      </c>
    </row>
    <row r="507" ht="13.5" customHeight="1" s="109">
      <c r="A507" s="35" t="inlineStr">
        <is>
          <t>https://www.instagram.com/p/DUxglngGoOj/</t>
        </is>
      </c>
      <c r="B507" s="35" t="inlineStr">
        <is>
          <t>Societe &amp; Droits</t>
        </is>
      </c>
      <c r="C507" s="35" t="inlineStr">
        <is>
          <t>Immigration</t>
        </is>
      </c>
      <c r="D507" s="36" t="n">
        <v>40</v>
      </c>
      <c r="E507" s="36" t="inlineStr">
        <is>
          <t>G</t>
        </is>
      </c>
      <c r="F507" s="35" t="inlineStr">
        <is>
          <t>RTS rapporte des faits et chiffres de l'OIM sur la crise migratoire, ton informatif.</t>
        </is>
      </c>
      <c r="G507" s="36" t="inlineStr">
        <is>
          <t>Oui</t>
        </is>
      </c>
      <c r="H507" s="35" t="inlineStr">
        <is>
          <t>Remise en cause des statistiques et du biais supposé de la RTS.</t>
        </is>
      </c>
      <c r="I507" s="36" t="n">
        <v>1</v>
      </c>
      <c r="J507" s="36" t="n">
        <v>4</v>
      </c>
      <c r="K507" s="74">
        <f>IFERROR(I507/J507,0)</f>
        <v/>
      </c>
      <c r="L507" s="36" t="n">
        <v>139</v>
      </c>
      <c r="M507" s="36" t="n">
        <v>3858</v>
      </c>
      <c r="N507" s="36" t="n">
        <v>0</v>
      </c>
      <c r="O507" s="35" t="inlineStr">
        <is>
          <t>Image_Carrousel</t>
        </is>
      </c>
    </row>
    <row r="508" ht="13.5" customHeight="1" s="109">
      <c r="A508" s="72" t="inlineStr">
        <is>
          <t>https://www.instagram.com/p/DUyUPM5jKGL/</t>
        </is>
      </c>
      <c r="B508" s="72" t="inlineStr">
        <is>
          <t>Politique &amp; Institutions</t>
        </is>
      </c>
      <c r="C508" s="72" t="inlineStr">
        <is>
          <t>Autorites</t>
        </is>
      </c>
      <c r="D508" s="73" t="n">
        <v>35</v>
      </c>
      <c r="E508" s="73" t="inlineStr">
        <is>
          <t>N</t>
        </is>
      </c>
      <c r="F508" s="72" t="inlineStr">
        <is>
          <t>RTS, service public, enquêteurs sur dysfonctionnements, cherche transparence et justice.</t>
        </is>
      </c>
      <c r="G508" s="73" t="inlineStr">
        <is>
          <t>Non</t>
        </is>
      </c>
      <c r="H508" s="72" t="n"/>
      <c r="I508" s="73" t="n">
        <v>0</v>
      </c>
      <c r="J508" s="73" t="n">
        <v>9</v>
      </c>
      <c r="K508" s="74">
        <f>IFERROR(I508/J508,0)</f>
        <v/>
      </c>
      <c r="L508" s="73" t="n">
        <v>81</v>
      </c>
      <c r="M508" s="73" t="n">
        <v>3462</v>
      </c>
      <c r="N508" s="73" t="n">
        <v>65991</v>
      </c>
      <c r="O508" s="72" t="inlineStr">
        <is>
          <t>Video</t>
        </is>
      </c>
    </row>
    <row r="509" ht="13.5" customHeight="1" s="109">
      <c r="A509" s="35" t="inlineStr">
        <is>
          <t>https://www.instagram.com/p/DUvM-RvD1Dl/</t>
        </is>
      </c>
      <c r="B509" s="35" t="inlineStr">
        <is>
          <t>Economie &amp; Travail</t>
        </is>
      </c>
      <c r="C509" s="35" t="inlineStr">
        <is>
          <t>Consommation</t>
        </is>
      </c>
      <c r="D509" s="36" t="n">
        <v>45</v>
      </c>
      <c r="E509" s="36" t="inlineStr">
        <is>
          <t>G</t>
        </is>
      </c>
      <c r="F509" s="35" t="inlineStr">
        <is>
          <t>Média public, légèrement progressiste par l'usage du langage inclusif.</t>
        </is>
      </c>
      <c r="G509" s="36" t="inlineStr">
        <is>
          <t>Non</t>
        </is>
      </c>
      <c r="H509" s="35" t="inlineStr">
        <is>
          <t>Aucun commentaire ne reproche quoi que ce soit au média.</t>
        </is>
      </c>
      <c r="I509" s="36" t="n">
        <v>0</v>
      </c>
      <c r="J509" s="36" t="n">
        <v>7</v>
      </c>
      <c r="K509" s="74">
        <f>IFERROR(I509/J509,0)</f>
        <v/>
      </c>
      <c r="L509" s="36" t="n">
        <v>19</v>
      </c>
      <c r="M509" s="36" t="n">
        <v>2456</v>
      </c>
      <c r="N509" s="36" t="n">
        <v>0</v>
      </c>
      <c r="O509" s="35" t="inlineStr">
        <is>
          <t>Image_Carrousel</t>
        </is>
      </c>
    </row>
    <row r="510" ht="13.5" customHeight="1" s="109">
      <c r="A510" s="72" t="inlineStr">
        <is>
          <t>https://www.instagram.com/p/DUvj5T5jcNa/</t>
        </is>
      </c>
      <c r="B510" s="72" t="inlineStr">
        <is>
          <t>Securite &amp; Justice</t>
        </is>
      </c>
      <c r="C510" s="72" t="inlineStr">
        <is>
          <t>Ordre public</t>
        </is>
      </c>
      <c r="D510" s="73" t="n">
        <v>45</v>
      </c>
      <c r="E510" s="73" t="inlineStr">
        <is>
          <t>N</t>
        </is>
      </c>
      <c r="F510" s="72" t="inlineStr">
        <is>
          <t>RTS, média de service public, rapport factuel sur un incident d'ordre public en Suisse.</t>
        </is>
      </c>
      <c r="G510" s="73" t="inlineStr">
        <is>
          <t>Non</t>
        </is>
      </c>
      <c r="H510" s="72" t="n"/>
      <c r="I510" s="73" t="n">
        <v>0</v>
      </c>
      <c r="J510" s="73" t="n">
        <v>3</v>
      </c>
      <c r="K510" s="74">
        <f>IFERROR(I510/J510,0)</f>
        <v/>
      </c>
      <c r="L510" s="73" t="n">
        <v>35</v>
      </c>
      <c r="M510" s="73" t="n">
        <v>4299</v>
      </c>
      <c r="N510" s="73" t="n">
        <v>0</v>
      </c>
      <c r="O510" s="72" t="inlineStr">
        <is>
          <t>Image_Carrousel</t>
        </is>
      </c>
    </row>
    <row r="511" ht="13.5" customHeight="1" s="109">
      <c r="A511" s="35" t="inlineStr">
        <is>
          <t>https://www.instagram.com/p/DUv2NlLjdra/</t>
        </is>
      </c>
      <c r="B511" s="35" t="inlineStr">
        <is>
          <t>International</t>
        </is>
      </c>
      <c r="C511" s="35" t="inlineStr">
        <is>
          <t>Geopolitique</t>
        </is>
      </c>
      <c r="D511" s="36" t="n">
        <v>50</v>
      </c>
      <c r="E511" s="36" t="inlineStr">
        <is>
          <t>N</t>
        </is>
      </c>
      <c r="F511" s="35" t="inlineStr">
        <is>
          <t>Analyse les JO sous un angle géopolitique, questionnant les décisions et l'instrumentalisation du sport.</t>
        </is>
      </c>
      <c r="G511" s="36" t="inlineStr">
        <is>
          <t>Oui</t>
        </is>
      </c>
      <c r="H511" s="35" t="inlineStr">
        <is>
          <t>Contestation de la raison donnée pour le bannissement des athlètes russes.</t>
        </is>
      </c>
      <c r="I511" s="36" t="n">
        <v>1</v>
      </c>
      <c r="J511" s="36" t="n">
        <v>4</v>
      </c>
      <c r="K511" s="74">
        <f>IFERROR(I511/J511,0)</f>
        <v/>
      </c>
      <c r="L511" s="36" t="n">
        <v>45</v>
      </c>
      <c r="M511" s="36" t="n">
        <v>1445</v>
      </c>
      <c r="N511" s="36" t="n">
        <v>33245</v>
      </c>
      <c r="O511" s="35" t="inlineStr">
        <is>
          <t>Video</t>
        </is>
      </c>
    </row>
    <row r="512" ht="13.5" customHeight="1" s="109">
      <c r="A512" s="72" t="inlineStr">
        <is>
          <t>https://www.instagram.com/p/DUtK5cDgvQV/</t>
        </is>
      </c>
      <c r="B512" s="72" t="inlineStr">
        <is>
          <t>Culture &amp; Loisirs</t>
        </is>
      </c>
      <c r="C512" s="72" t="inlineStr">
        <is>
          <t>Sport</t>
        </is>
      </c>
      <c r="D512" s="73" t="n">
        <v>50</v>
      </c>
      <c r="E512" s="73" t="inlineStr">
        <is>
          <t>N</t>
        </is>
      </c>
      <c r="F512" s="72" t="inlineStr">
        <is>
          <t>Présente les faits et opinions de manière équilibrée sans biais apparent.</t>
        </is>
      </c>
      <c r="G512" s="73" t="inlineStr">
        <is>
          <t>Non</t>
        </is>
      </c>
      <c r="H512" s="72" t="n"/>
      <c r="I512" s="73" t="n">
        <v>0</v>
      </c>
      <c r="J512" s="73" t="n">
        <v>8</v>
      </c>
      <c r="K512" s="74">
        <f>IFERROR(I512/J512,0)</f>
        <v/>
      </c>
      <c r="L512" s="73" t="n">
        <v>71</v>
      </c>
      <c r="M512" s="73" t="n">
        <v>6953</v>
      </c>
      <c r="N512" s="73" t="n">
        <v>0</v>
      </c>
      <c r="O512" s="72" t="inlineStr">
        <is>
          <t>Image_Carrousel</t>
        </is>
      </c>
    </row>
    <row r="513" ht="13.5" customHeight="1" s="109">
      <c r="A513" s="35" t="inlineStr">
        <is>
          <t>https://www.instagram.com/p/DUvvXjbgYZ6/</t>
        </is>
      </c>
      <c r="B513" s="35" t="inlineStr">
        <is>
          <t>Environnement &amp; Nature</t>
        </is>
      </c>
      <c r="C513" s="35" t="inlineStr">
        <is>
          <t>Climat / Ecologie</t>
        </is>
      </c>
      <c r="D513" s="36" t="n">
        <v>40</v>
      </c>
      <c r="E513" s="36" t="inlineStr">
        <is>
          <t>N</t>
        </is>
      </c>
      <c r="F513" s="35" t="inlineStr">
        <is>
          <t>RTS et AFP rapportent faits officiels sans biais apparent.</t>
        </is>
      </c>
      <c r="G513" s="36" t="inlineStr">
        <is>
          <t>Oui</t>
        </is>
      </c>
      <c r="H513" s="35" t="inlineStr">
        <is>
          <t>Le terme 'exceptionnelle' est critiqué comme inadapté à la récurrence.</t>
        </is>
      </c>
      <c r="I513" s="36" t="n">
        <v>1</v>
      </c>
      <c r="J513" s="36" t="n">
        <v>3</v>
      </c>
      <c r="K513" s="74">
        <f>IFERROR(I513/J513,0)</f>
        <v/>
      </c>
      <c r="L513" s="36" t="n">
        <v>57</v>
      </c>
      <c r="M513" s="36" t="n">
        <v>1897</v>
      </c>
      <c r="N513" s="36" t="n">
        <v>0</v>
      </c>
      <c r="O513" s="35" t="inlineStr">
        <is>
          <t>Image_Carrousel</t>
        </is>
      </c>
    </row>
    <row r="514" ht="13.5" customHeight="1" s="109">
      <c r="A514" s="72" t="inlineStr">
        <is>
          <t>https://www.instagram.com/p/DUvoa-iDt9j/</t>
        </is>
      </c>
      <c r="B514" s="72" t="inlineStr">
        <is>
          <t>Economie &amp; Travail</t>
        </is>
      </c>
      <c r="C514" s="72" t="inlineStr">
        <is>
          <t>Consommation</t>
        </is>
      </c>
      <c r="D514" s="73" t="n">
        <v>45</v>
      </c>
      <c r="E514" s="73" t="inlineStr">
        <is>
          <t>N</t>
        </is>
      </c>
      <c r="F514" s="72" t="inlineStr">
        <is>
          <t>Analyse factuelle des tendances de marché et des impacts technologiques sur le consommateur.</t>
        </is>
      </c>
      <c r="G514" s="73" t="inlineStr">
        <is>
          <t>Non</t>
        </is>
      </c>
      <c r="H514" s="72" t="n"/>
      <c r="I514" s="73" t="n">
        <v>0</v>
      </c>
      <c r="J514" s="73" t="n">
        <v>10</v>
      </c>
      <c r="K514" s="74">
        <f>IFERROR(I514/J514,0)</f>
        <v/>
      </c>
      <c r="L514" s="73" t="n">
        <v>91</v>
      </c>
      <c r="M514" s="73" t="n">
        <v>3844</v>
      </c>
      <c r="N514" s="73" t="n">
        <v>0</v>
      </c>
      <c r="O514" s="72" t="inlineStr">
        <is>
          <t>Image_Carrousel</t>
        </is>
      </c>
    </row>
    <row r="515" ht="13.5" customHeight="1" s="109">
      <c r="A515" s="35" t="inlineStr">
        <is>
          <t>https://www.instagram.com/p/DUvGIZcD1U_/</t>
        </is>
      </c>
      <c r="B515" s="35" t="inlineStr">
        <is>
          <t>Culture &amp; Loisirs</t>
        </is>
      </c>
      <c r="C515" s="35" t="inlineStr">
        <is>
          <t>Arts</t>
        </is>
      </c>
      <c r="D515" s="36" t="n">
        <v>45</v>
      </c>
      <c r="E515" s="36" t="inlineStr">
        <is>
          <t>N</t>
        </is>
      </c>
      <c r="F515" s="35" t="inlineStr">
        <is>
          <t>RTS Info est un média de service public, cherchant l'information factuelle et une neutralité.</t>
        </is>
      </c>
      <c r="G515" s="36" t="inlineStr">
        <is>
          <t>Non</t>
        </is>
      </c>
      <c r="H515" s="35" t="inlineStr">
        <is>
          <t>Aucune critique directe du média ou de son traitement de l'information.</t>
        </is>
      </c>
      <c r="I515" s="36" t="n">
        <v>0</v>
      </c>
      <c r="J515" s="36" t="n">
        <v>6</v>
      </c>
      <c r="K515" s="74">
        <f>IFERROR(I515/J515,0)</f>
        <v/>
      </c>
      <c r="L515" s="36" t="n">
        <v>31</v>
      </c>
      <c r="M515" s="36" t="n">
        <v>5050</v>
      </c>
      <c r="N515" s="36" t="n">
        <v>0</v>
      </c>
      <c r="O515" s="35" t="inlineStr">
        <is>
          <t>Image_Carrousel</t>
        </is>
      </c>
    </row>
    <row r="516" ht="13.5" customHeight="1" s="109">
      <c r="A516" s="72" t="inlineStr">
        <is>
          <t>https://www.instagram.com/p/DUs3NhJgkXp/</t>
        </is>
      </c>
      <c r="B516" s="72" t="inlineStr">
        <is>
          <t>Culture &amp; Loisirs</t>
        </is>
      </c>
      <c r="C516" s="72" t="inlineStr">
        <is>
          <t>Sport</t>
        </is>
      </c>
      <c r="D516" s="73" t="n">
        <v>50</v>
      </c>
      <c r="E516" s="73" t="inlineStr">
        <is>
          <t>N</t>
        </is>
      </c>
      <c r="F516" s="72" t="inlineStr">
        <is>
          <t>Contenu sportif descriptif et promotionnel d'un événement établi (JO).</t>
        </is>
      </c>
      <c r="G516" s="73" t="inlineStr">
        <is>
          <t>Non</t>
        </is>
      </c>
      <c r="H516" s="72" t="inlineStr">
        <is>
          <t>Aucune critique directe du média dans les commentaires fournis.</t>
        </is>
      </c>
      <c r="I516" s="73" t="n">
        <v>0</v>
      </c>
      <c r="J516" s="73" t="n">
        <v>7</v>
      </c>
      <c r="K516" s="74">
        <f>IFERROR(I516/J516,0)</f>
        <v/>
      </c>
      <c r="L516" s="73" t="n">
        <v>42</v>
      </c>
      <c r="M516" s="73" t="n">
        <v>5449</v>
      </c>
      <c r="N516" s="73" t="n">
        <v>0</v>
      </c>
      <c r="O516" s="72" t="inlineStr">
        <is>
          <t>Image_Carrousel</t>
        </is>
      </c>
    </row>
    <row r="517" ht="13.5" customHeight="1" s="109">
      <c r="A517" s="35" t="inlineStr">
        <is>
          <t>https://www.instagram.com/p/DUtDxVfDURv/</t>
        </is>
      </c>
      <c r="B517" s="35" t="inlineStr">
        <is>
          <t>Societe &amp; Droits</t>
        </is>
      </c>
      <c r="C517" s="35" t="inlineStr">
        <is>
          <t>Immigration</t>
        </is>
      </c>
      <c r="D517" s="36" t="n">
        <v>20</v>
      </c>
      <c r="E517" s="36" t="inlineStr">
        <is>
          <t>G</t>
        </is>
      </c>
      <c r="F517" s="35" t="inlineStr">
        <is>
          <t>Le sujet met en lumière les conséquences humaines de l'application des lois migratoires.</t>
        </is>
      </c>
      <c r="G517" s="36" t="inlineStr">
        <is>
          <t>Oui</t>
        </is>
      </c>
      <c r="H517" s="35" t="inlineStr">
        <is>
          <t>Accusation de biais médiatique pour ne pas critiquer Obama sur le sujet.</t>
        </is>
      </c>
      <c r="I517" s="36" t="n">
        <v>1</v>
      </c>
      <c r="J517" s="36" t="n">
        <v>5</v>
      </c>
      <c r="K517" s="74">
        <f>IFERROR(I517/J517,0)</f>
        <v/>
      </c>
      <c r="L517" s="36" t="n">
        <v>208</v>
      </c>
      <c r="M517" s="36" t="n">
        <v>4415</v>
      </c>
      <c r="N517" s="36" t="n">
        <v>79065</v>
      </c>
      <c r="O517" s="35" t="inlineStr">
        <is>
          <t>Video</t>
        </is>
      </c>
    </row>
    <row r="518" ht="13.5" customHeight="1" s="109">
      <c r="A518" s="72" t="inlineStr">
        <is>
          <t>https://www.instagram.com/p/DUuqsSsjatL/</t>
        </is>
      </c>
      <c r="B518" s="72" t="inlineStr">
        <is>
          <t>Economie &amp; Travail</t>
        </is>
      </c>
      <c r="C518" s="72" t="inlineStr">
        <is>
          <t>Consommation</t>
        </is>
      </c>
      <c r="D518" s="73" t="n">
        <v>40</v>
      </c>
      <c r="E518" s="73" t="inlineStr">
        <is>
          <t>G</t>
        </is>
      </c>
      <c r="F518" s="72" t="inlineStr">
        <is>
          <t>RTS, média public, met en avant l'innovation culinaire et l'entrepreneuriat.</t>
        </is>
      </c>
      <c r="G518" s="73" t="inlineStr">
        <is>
          <t>Oui</t>
        </is>
      </c>
      <c r="H518" s="72" t="inlineStr">
        <is>
          <t>Un commentaire critique le manque d'inventivité du sujet couvert par le média.</t>
        </is>
      </c>
      <c r="I518" s="73" t="n">
        <v>1</v>
      </c>
      <c r="J518" s="73" t="n">
        <v>10</v>
      </c>
      <c r="K518" s="74">
        <f>IFERROR(I518/J518,0)</f>
        <v/>
      </c>
      <c r="L518" s="73" t="n">
        <v>86</v>
      </c>
      <c r="M518" s="73" t="n">
        <v>9869</v>
      </c>
      <c r="N518" s="73" t="n">
        <v>211760</v>
      </c>
      <c r="O518" s="72" t="inlineStr">
        <is>
          <t>Video</t>
        </is>
      </c>
    </row>
    <row r="519" ht="13.5" customHeight="1" s="109">
      <c r="A519" s="35" t="inlineStr">
        <is>
          <t>https://www.instagram.com/p/DUsvC3niWUa/</t>
        </is>
      </c>
      <c r="B519" s="35" t="inlineStr">
        <is>
          <t>Securite &amp; Justice</t>
        </is>
      </c>
      <c r="C519" s="35" t="inlineStr">
        <is>
          <t>Justice</t>
        </is>
      </c>
      <c r="D519" s="36" t="n">
        <v>45</v>
      </c>
      <c r="E519" s="36" t="inlineStr">
        <is>
          <t>N</t>
        </is>
      </c>
      <c r="F519" s="35" t="inlineStr">
        <is>
          <t>Reportage factuel d'un crime, sans biais editorial discernable.</t>
        </is>
      </c>
      <c r="G519" s="36" t="inlineStr">
        <is>
          <t>Non</t>
        </is>
      </c>
      <c r="H519" s="35" t="n"/>
      <c r="I519" s="36" t="n">
        <v>0</v>
      </c>
      <c r="J519" s="36" t="n">
        <v>5</v>
      </c>
      <c r="K519" s="74">
        <f>IFERROR(I519/J519,0)</f>
        <v/>
      </c>
      <c r="L519" s="36" t="n">
        <v>40</v>
      </c>
      <c r="M519" s="36" t="n">
        <v>4062</v>
      </c>
      <c r="N519" s="36" t="n">
        <v>0</v>
      </c>
      <c r="O519" s="35" t="inlineStr">
        <is>
          <t>Image_Carrousel</t>
        </is>
      </c>
    </row>
    <row r="520" ht="13.5" customHeight="1" s="109">
      <c r="A520" s="72" t="inlineStr">
        <is>
          <t>https://www.instagram.com/p/DUvT3CHgW6X/</t>
        </is>
      </c>
      <c r="B520" s="72" t="inlineStr">
        <is>
          <t>Environnement &amp; Nature</t>
        </is>
      </c>
      <c r="C520" s="72" t="inlineStr">
        <is>
          <t>Climat / Ecologie</t>
        </is>
      </c>
      <c r="D520" s="73" t="n">
        <v>45</v>
      </c>
      <c r="E520" s="73" t="inlineStr">
        <is>
          <t>N</t>
        </is>
      </c>
      <c r="F520" s="72" t="inlineStr">
        <is>
          <t>RTS, service public, adopte un angle progressiste sur l'environnement.</t>
        </is>
      </c>
      <c r="G520" s="73" t="inlineStr">
        <is>
          <t>Oui</t>
        </is>
      </c>
      <c r="H520" s="72" t="inlineStr">
        <is>
          <t>Manque de couverture/censure de sujet (LFI) reproché.</t>
        </is>
      </c>
      <c r="I520" s="73" t="n">
        <v>1</v>
      </c>
      <c r="J520" s="73" t="n">
        <v>7</v>
      </c>
      <c r="K520" s="74">
        <f>IFERROR(I520/J520,0)</f>
        <v/>
      </c>
      <c r="L520" s="73" t="n">
        <v>27</v>
      </c>
      <c r="M520" s="73" t="n">
        <v>3259</v>
      </c>
      <c r="N520" s="73" t="n">
        <v>0</v>
      </c>
      <c r="O520" s="72" t="inlineStr">
        <is>
          <t>Image_Carrousel</t>
        </is>
      </c>
    </row>
    <row r="521" ht="13.5" customHeight="1" s="109">
      <c r="A521" s="35" t="inlineStr">
        <is>
          <t>https://www.instagram.com/p/DUxPooVEgus/</t>
        </is>
      </c>
      <c r="B521" s="35" t="inlineStr">
        <is>
          <t>Securite &amp; Justice</t>
        </is>
      </c>
      <c r="C521" s="35" t="inlineStr">
        <is>
          <t>Ordre public</t>
        </is>
      </c>
      <c r="D521" s="36" t="n">
        <v>50</v>
      </c>
      <c r="E521" s="36" t="inlineStr">
        <is>
          <t>N</t>
        </is>
      </c>
      <c r="F521" s="35" t="inlineStr">
        <is>
          <t>RTS rapporte des faits de criminalité avec une question ouverte, sans orientation politique.</t>
        </is>
      </c>
      <c r="G521" s="36" t="inlineStr">
        <is>
          <t>Non</t>
        </is>
      </c>
      <c r="H521" s="35" t="inlineStr">
        <is>
          <t>Aucun commentaire ne critique le média (biais, ton, sujet).</t>
        </is>
      </c>
      <c r="I521" s="36" t="n">
        <v>0</v>
      </c>
      <c r="J521" s="36" t="n">
        <v>8</v>
      </c>
      <c r="K521" s="74">
        <f>IFERROR(I521/J521,0)</f>
        <v/>
      </c>
      <c r="L521" s="36" t="n">
        <v>164</v>
      </c>
      <c r="M521" s="36" t="n">
        <v>3945</v>
      </c>
      <c r="N521" s="36" t="n">
        <v>105265</v>
      </c>
      <c r="O521" s="35" t="inlineStr">
        <is>
          <t>Video</t>
        </is>
      </c>
    </row>
    <row r="522" ht="13.5" customHeight="1" s="109">
      <c r="A522" s="72" t="inlineStr">
        <is>
          <t>https://www.instagram.com/p/DUtRX_ej5kw/</t>
        </is>
      </c>
      <c r="B522" s="72" t="inlineStr">
        <is>
          <t>Societe &amp; Droits</t>
        </is>
      </c>
      <c r="C522" s="72" t="inlineStr">
        <is>
          <t>Faits de societe</t>
        </is>
      </c>
      <c r="D522" s="73" t="n">
        <v>20</v>
      </c>
      <c r="E522" s="73" t="inlineStr">
        <is>
          <t>G</t>
        </is>
      </c>
      <c r="F522" s="72" t="inlineStr">
        <is>
          <t>Utilisation d'écriture inclusive, valorisation des qualités intrinsèques sur l'apparence physique.</t>
        </is>
      </c>
      <c r="G522" s="73" t="inlineStr">
        <is>
          <t>Oui</t>
        </is>
      </c>
      <c r="H522" s="72" t="inlineStr">
        <is>
          <t>Qualité éditoriale remise en cause (IA), manque de nuance (biais cognitifs).</t>
        </is>
      </c>
      <c r="I522" s="73" t="n">
        <v>2</v>
      </c>
      <c r="J522" s="73" t="n">
        <v>7</v>
      </c>
      <c r="K522" s="74">
        <f>IFERROR(I522/J522,0)</f>
        <v/>
      </c>
      <c r="L522" s="73" t="n">
        <v>59</v>
      </c>
      <c r="M522" s="73" t="n">
        <v>6475</v>
      </c>
      <c r="N522" s="73" t="n">
        <v>0</v>
      </c>
      <c r="O522" s="72" t="inlineStr">
        <is>
          <t>Image_Carrousel</t>
        </is>
      </c>
    </row>
    <row r="523" ht="13.5" customHeight="1" s="109">
      <c r="A523" s="35" t="inlineStr">
        <is>
          <t>https://www.instagram.com/p/DUqQSBYgmjE/</t>
        </is>
      </c>
      <c r="B523" s="35" t="inlineStr">
        <is>
          <t>Culture &amp; Loisirs</t>
        </is>
      </c>
      <c r="C523" s="35" t="inlineStr">
        <is>
          <t>Sport</t>
        </is>
      </c>
      <c r="D523" s="36" t="n">
        <v>50</v>
      </c>
      <c r="E523" s="36" t="inlineStr">
        <is>
          <t>N</t>
        </is>
      </c>
      <c r="F523" s="35" t="inlineStr">
        <is>
          <t>RTS, service public, rapport factuel et neutre sur un événement sportif. Pas de biais apparent.</t>
        </is>
      </c>
      <c r="G523" s="36" t="inlineStr">
        <is>
          <t>Non</t>
        </is>
      </c>
      <c r="H523" s="35" t="n"/>
      <c r="I523" s="36" t="n">
        <v>0</v>
      </c>
      <c r="J523" s="36" t="n">
        <v>8</v>
      </c>
      <c r="K523" s="74">
        <f>IFERROR(I523/J523,0)</f>
        <v/>
      </c>
      <c r="L523" s="36" t="n">
        <v>66</v>
      </c>
      <c r="M523" s="36" t="n">
        <v>11598</v>
      </c>
      <c r="N523" s="36" t="n">
        <v>0</v>
      </c>
      <c r="O523" s="35" t="inlineStr">
        <is>
          <t>Image_Carrousel</t>
        </is>
      </c>
    </row>
    <row r="524" ht="13.5" customHeight="1" s="109">
      <c r="A524" s="72" t="inlineStr">
        <is>
          <t>https://www.instagram.com/p/DUsZ7QuibCw/</t>
        </is>
      </c>
      <c r="B524" s="72" t="inlineStr">
        <is>
          <t>Culture &amp; Loisirs</t>
        </is>
      </c>
      <c r="C524" s="72" t="inlineStr">
        <is>
          <t>Medias</t>
        </is>
      </c>
      <c r="D524" s="73" t="n">
        <v>50</v>
      </c>
      <c r="E524" s="73" t="inlineStr">
        <is>
          <t>N</t>
        </is>
      </c>
      <c r="F524" s="72" t="inlineStr">
        <is>
          <t>RTS est un média public, le message est neutre et autocélébrant, visant la stabilité communautaire.</t>
        </is>
      </c>
      <c r="G524" s="73" t="inlineStr">
        <is>
          <t>Non</t>
        </is>
      </c>
      <c r="H524" s="72" t="n"/>
      <c r="I524" s="73" t="n">
        <v>0</v>
      </c>
      <c r="J524" s="73" t="n">
        <v>9</v>
      </c>
      <c r="K524" s="74">
        <f>IFERROR(I524/J524,0)</f>
        <v/>
      </c>
      <c r="L524" s="73" t="n">
        <v>49</v>
      </c>
      <c r="M524" s="73" t="n">
        <v>2665</v>
      </c>
      <c r="N524" s="73" t="n">
        <v>29994</v>
      </c>
      <c r="O524" s="72" t="inlineStr">
        <is>
          <t>Video</t>
        </is>
      </c>
    </row>
    <row r="525" ht="13.5" customHeight="1" s="109">
      <c r="A525" s="35" t="inlineStr">
        <is>
          <t>https://www.instagram.com/p/DUxq5V9jeqS/</t>
        </is>
      </c>
      <c r="B525" s="35" t="inlineStr">
        <is>
          <t>Environnement &amp; Nature</t>
        </is>
      </c>
      <c r="C525" s="35" t="inlineStr">
        <is>
          <t>Climat / Ecologie</t>
        </is>
      </c>
      <c r="D525" s="36" t="n">
        <v>25</v>
      </c>
      <c r="E525" s="36" t="inlineStr">
        <is>
          <t>G</t>
        </is>
      </c>
      <c r="F525" s="35" t="inlineStr">
        <is>
          <t>Critique le surtourisme, l'impact environnemental et social, valorise durabilité et droits locaux.</t>
        </is>
      </c>
      <c r="G525" s="36" t="inlineStr">
        <is>
          <t>Oui</t>
        </is>
      </c>
      <c r="H525" s="35" t="inlineStr">
        <is>
          <t>Contenu non original, suppression de commentaires par le média.</t>
        </is>
      </c>
      <c r="I525" s="36" t="n">
        <v>2</v>
      </c>
      <c r="J525" s="36" t="n">
        <v>9</v>
      </c>
      <c r="K525" s="74">
        <f>IFERROR(I525/J525,0)</f>
        <v/>
      </c>
      <c r="L525" s="36" t="n">
        <v>64</v>
      </c>
      <c r="M525" s="36" t="n">
        <v>7712</v>
      </c>
      <c r="N525" s="36" t="n">
        <v>0</v>
      </c>
      <c r="O525" s="35" t="inlineStr">
        <is>
          <t>Image_Carrousel</t>
        </is>
      </c>
    </row>
    <row r="526" ht="13.5" customHeight="1" s="109">
      <c r="A526" s="72" t="inlineStr">
        <is>
          <t>https://www.instagram.com/p/DUsk12LDLCg/</t>
        </is>
      </c>
      <c r="B526" s="72" t="inlineStr">
        <is>
          <t>International</t>
        </is>
      </c>
      <c r="C526" s="72" t="inlineStr">
        <is>
          <t>Conflits</t>
        </is>
      </c>
      <c r="D526" s="73" t="n">
        <v>50</v>
      </c>
      <c r="E526" s="73" t="inlineStr">
        <is>
          <t>N</t>
        </is>
      </c>
      <c r="F526" s="72" t="inlineStr">
        <is>
          <t>RTS est un diffuseur public suisse, visant l'information factuelle et la neutralité.</t>
        </is>
      </c>
      <c r="G526" s="73" t="inlineStr">
        <is>
          <t>Oui</t>
        </is>
      </c>
      <c r="H526" s="72" t="inlineStr">
        <is>
          <t>Remise en question de la crédibilité ou de l'angle de la couverture diplomatique.</t>
        </is>
      </c>
      <c r="I526" s="73" t="n">
        <v>2</v>
      </c>
      <c r="J526" s="73" t="n">
        <v>7</v>
      </c>
      <c r="K526" s="74">
        <f>IFERROR(I526/J526,0)</f>
        <v/>
      </c>
      <c r="L526" s="73" t="n">
        <v>53</v>
      </c>
      <c r="M526" s="73" t="n">
        <v>3278</v>
      </c>
      <c r="N526" s="73" t="n">
        <v>0</v>
      </c>
      <c r="O526" s="72" t="inlineStr">
        <is>
          <t>Image_Carrousel</t>
        </is>
      </c>
    </row>
    <row r="527" ht="13.5" customHeight="1" s="109">
      <c r="A527" s="35" t="inlineStr">
        <is>
          <t>https://www.instagram.com/p/DUr4L8nFtUL/</t>
        </is>
      </c>
      <c r="B527" s="35" t="inlineStr">
        <is>
          <t>Sante</t>
        </is>
      </c>
      <c r="C527" s="35" t="inlineStr">
        <is>
          <t>Sante publique</t>
        </is>
      </c>
      <c r="D527" s="36" t="n">
        <v>50</v>
      </c>
      <c r="E527" s="36" t="inlineStr">
        <is>
          <t>N</t>
        </is>
      </c>
      <c r="F527" s="35" t="inlineStr">
        <is>
          <t>Média public suisse, FastCheck factuel, ton neutre et scientifique.</t>
        </is>
      </c>
      <c r="G527" s="36" t="inlineStr">
        <is>
          <t>Non</t>
        </is>
      </c>
      <c r="H527" s="35" t="n"/>
      <c r="I527" s="36" t="n">
        <v>0</v>
      </c>
      <c r="J527" s="36" t="n">
        <v>9</v>
      </c>
      <c r="K527" s="74">
        <f>IFERROR(I527/J527,0)</f>
        <v/>
      </c>
      <c r="L527" s="36" t="n">
        <v>9</v>
      </c>
      <c r="M527" s="36" t="n">
        <v>1406</v>
      </c>
      <c r="N527" s="36" t="n">
        <v>35982</v>
      </c>
      <c r="O527" s="35" t="inlineStr">
        <is>
          <t>Video</t>
        </is>
      </c>
    </row>
    <row r="528" ht="13.5" customHeight="1" s="109">
      <c r="A528" s="72" t="inlineStr">
        <is>
          <t>https://www.instagram.com/p/DVNkPjxj0nY/</t>
        </is>
      </c>
      <c r="B528" s="72" t="inlineStr">
        <is>
          <t>Sante</t>
        </is>
      </c>
      <c r="C528" s="72" t="inlineStr">
        <is>
          <t>Sante publique</t>
        </is>
      </c>
      <c r="D528" s="73" t="n">
        <v>50</v>
      </c>
      <c r="E528" s="73" t="inlineStr">
        <is>
          <t>N</t>
        </is>
      </c>
      <c r="F528" s="72" t="inlineStr">
        <is>
          <t>RTS couvre un artisanat local avec des allégations de santé, nuancées par 'prétendues vertus'.</t>
        </is>
      </c>
      <c r="G528" s="73" t="inlineStr">
        <is>
          <t>Oui</t>
        </is>
      </c>
      <c r="H528" s="72" t="inlineStr">
        <is>
          <t>Manque de preuves scientifiques pour les bienfaits allégués par le média.</t>
        </is>
      </c>
      <c r="I528" s="73" t="n">
        <v>1</v>
      </c>
      <c r="J528" s="73" t="n">
        <v>3</v>
      </c>
      <c r="K528" s="74">
        <f>IFERROR(I528/J528,0)</f>
        <v/>
      </c>
      <c r="L528" s="73" t="n">
        <v>8</v>
      </c>
      <c r="M528" s="73" t="n">
        <v>1262</v>
      </c>
      <c r="N528" s="73" t="n">
        <v>27921</v>
      </c>
      <c r="O528" s="72" t="inlineStr">
        <is>
          <t>Video</t>
        </is>
      </c>
    </row>
    <row r="529" ht="13.5" customHeight="1" s="109">
      <c r="A529" s="35" t="inlineStr">
        <is>
          <t>https://www.instagram.com/p/DUtYPXyGnfS/</t>
        </is>
      </c>
      <c r="B529" s="35" t="inlineStr">
        <is>
          <t>Culture &amp; Loisirs</t>
        </is>
      </c>
      <c r="C529" s="35" t="inlineStr">
        <is>
          <t>Arts</t>
        </is>
      </c>
      <c r="D529" s="36" t="n">
        <v>40</v>
      </c>
      <c r="E529" s="36" t="inlineStr">
        <is>
          <t>N</t>
        </is>
      </c>
      <c r="F529" s="35" t="inlineStr">
        <is>
          <t>Média public factuel, valorise tradition locale sans biais idéologique marqué.</t>
        </is>
      </c>
      <c r="G529" s="36" t="inlineStr">
        <is>
          <t>Oui</t>
        </is>
      </c>
      <c r="H529" s="35" t="inlineStr">
        <is>
          <t>Un commentaire questionne le choix éditorial du sujet.</t>
        </is>
      </c>
      <c r="I529" s="36" t="n">
        <v>1</v>
      </c>
      <c r="J529" s="36" t="n">
        <v>10</v>
      </c>
      <c r="K529" s="74">
        <f>IFERROR(I529/J529,0)</f>
        <v/>
      </c>
      <c r="L529" s="36" t="n">
        <v>24</v>
      </c>
      <c r="M529" s="36" t="n">
        <v>10186</v>
      </c>
      <c r="N529" s="36" t="n">
        <v>0</v>
      </c>
      <c r="O529" s="35" t="inlineStr">
        <is>
          <t>Image_Carrousel</t>
        </is>
      </c>
    </row>
    <row r="530" ht="13.5" customHeight="1" s="109">
      <c r="A530" s="72" t="inlineStr">
        <is>
          <t>https://www.instagram.com/p/DUp2lMRAhmW/</t>
        </is>
      </c>
      <c r="B530" s="72" t="inlineStr">
        <is>
          <t>International</t>
        </is>
      </c>
      <c r="C530" s="72" t="inlineStr">
        <is>
          <t>Conflits</t>
        </is>
      </c>
      <c r="D530" s="73" t="n">
        <v>45</v>
      </c>
      <c r="E530" s="73" t="inlineStr">
        <is>
          <t>N</t>
        </is>
      </c>
      <c r="F530" s="72" t="inlineStr">
        <is>
          <t>Présentation neutre des faits, citant les arguments du CIO et la réaction de l'athlète.</t>
        </is>
      </c>
      <c r="G530" s="73" t="inlineStr">
        <is>
          <t>Non</t>
        </is>
      </c>
      <c r="H530" s="72" t="n"/>
      <c r="I530" s="73" t="n">
        <v>0</v>
      </c>
      <c r="J530" s="73" t="n">
        <v>7</v>
      </c>
      <c r="K530" s="74">
        <f>IFERROR(I530/J530,0)</f>
        <v/>
      </c>
      <c r="L530" s="73" t="n">
        <v>189</v>
      </c>
      <c r="M530" s="73" t="n">
        <v>6707</v>
      </c>
      <c r="N530" s="73" t="n">
        <v>0</v>
      </c>
      <c r="O530" s="72" t="inlineStr">
        <is>
          <t>Image_Carrousel</t>
        </is>
      </c>
    </row>
    <row r="531" ht="13.5" customHeight="1" s="109">
      <c r="A531" s="35" t="inlineStr">
        <is>
          <t>https://www.instagram.com/p/DUqzeD-D6di/</t>
        </is>
      </c>
      <c r="B531" s="35" t="inlineStr">
        <is>
          <t>Culture &amp; Loisirs</t>
        </is>
      </c>
      <c r="C531" s="35" t="inlineStr">
        <is>
          <t>Arts</t>
        </is>
      </c>
      <c r="D531" s="36" t="n">
        <v>45</v>
      </c>
      <c r="E531" s="36" t="inlineStr">
        <is>
          <t>N</t>
        </is>
      </c>
      <c r="F531" s="35" t="inlineStr">
        <is>
          <t>Média public Suisse, vise la neutralité et couvre un événement traditionnel.</t>
        </is>
      </c>
      <c r="G531" s="36" t="inlineStr">
        <is>
          <t>Oui</t>
        </is>
      </c>
      <c r="H531" s="35" t="inlineStr">
        <is>
          <t>Manque d'exhaustivité sur les exemples de carnavals cités.</t>
        </is>
      </c>
      <c r="I531" s="36" t="n">
        <v>1</v>
      </c>
      <c r="J531" s="36" t="n">
        <v>7</v>
      </c>
      <c r="K531" s="74">
        <f>IFERROR(I531/J531,0)</f>
        <v/>
      </c>
      <c r="L531" s="36" t="n">
        <v>35</v>
      </c>
      <c r="M531" s="36" t="n">
        <v>5821</v>
      </c>
      <c r="N531" s="36" t="n">
        <v>0</v>
      </c>
      <c r="O531" s="35" t="inlineStr">
        <is>
          <t>Image_Carrousel</t>
        </is>
      </c>
    </row>
    <row r="532" ht="13.5" customHeight="1" s="109">
      <c r="A532" s="72" t="inlineStr">
        <is>
          <t>https://www.instagram.com/p/DUqKOwojTTO/</t>
        </is>
      </c>
      <c r="B532" s="72" t="inlineStr">
        <is>
          <t>Environnement &amp; Nature</t>
        </is>
      </c>
      <c r="C532" s="72" t="inlineStr">
        <is>
          <t>Climat / Ecologie</t>
        </is>
      </c>
      <c r="D532" s="73" t="n">
        <v>50</v>
      </c>
      <c r="E532" s="73" t="inlineStr">
        <is>
          <t>N</t>
        </is>
      </c>
      <c r="F532" s="72" t="inlineStr">
        <is>
          <t>Média public suisse, vise neutralité et information factuelle.</t>
        </is>
      </c>
      <c r="G532" s="73" t="inlineStr">
        <is>
          <t>Non</t>
        </is>
      </c>
      <c r="H532" s="72" t="n"/>
      <c r="I532" s="73" t="n">
        <v>0</v>
      </c>
      <c r="J532" s="73" t="n">
        <v>2</v>
      </c>
      <c r="K532" s="74">
        <f>IFERROR(I532/J532,0)</f>
        <v/>
      </c>
      <c r="L532" s="73" t="n">
        <v>2</v>
      </c>
      <c r="M532" s="73" t="n">
        <v>3565</v>
      </c>
      <c r="N532" s="73" t="n">
        <v>0</v>
      </c>
      <c r="O532" s="72" t="inlineStr">
        <is>
          <t>Image_Carrousel</t>
        </is>
      </c>
    </row>
    <row r="533" ht="13.5" customHeight="1" s="109">
      <c r="A533" s="35" t="inlineStr">
        <is>
          <t>https://www.instagram.com/p/DUr-9iBglz4/</t>
        </is>
      </c>
      <c r="B533" s="35" t="inlineStr">
        <is>
          <t>Societe &amp; Droits</t>
        </is>
      </c>
      <c r="C533" s="35" t="inlineStr">
        <is>
          <t>Faits de societe</t>
        </is>
      </c>
      <c r="D533" s="36" t="n">
        <v>50</v>
      </c>
      <c r="E533" s="36" t="inlineStr">
        <is>
          <t>N</t>
        </is>
      </c>
      <c r="F533" s="35" t="inlineStr">
        <is>
          <t>RTS, média public, rapporte objectivement une étude scientifique sur le comportement animal.</t>
        </is>
      </c>
      <c r="G533" s="36" t="inlineStr">
        <is>
          <t>Non</t>
        </is>
      </c>
      <c r="H533" s="35" t="n"/>
      <c r="I533" s="36" t="n">
        <v>0</v>
      </c>
      <c r="J533" s="36" t="n">
        <v>2</v>
      </c>
      <c r="K533" s="74">
        <f>IFERROR(I533/J533,0)</f>
        <v/>
      </c>
      <c r="L533" s="36" t="n">
        <v>2</v>
      </c>
      <c r="M533" s="36" t="n">
        <v>1349</v>
      </c>
      <c r="N533" s="36" t="n">
        <v>0</v>
      </c>
      <c r="O533" s="35" t="inlineStr">
        <is>
          <t>Image_Carrousel</t>
        </is>
      </c>
    </row>
    <row r="534" ht="13.5" customHeight="1" s="109">
      <c r="A534" s="72" t="inlineStr">
        <is>
          <t>https://www.instagram.com/p/DUqe1CSDF0J/</t>
        </is>
      </c>
      <c r="B534" s="72" t="inlineStr">
        <is>
          <t>Securite &amp; Justice</t>
        </is>
      </c>
      <c r="C534" s="72" t="inlineStr">
        <is>
          <t>Justice</t>
        </is>
      </c>
      <c r="D534" s="73" t="n">
        <v>45</v>
      </c>
      <c r="E534" s="73" t="inlineStr">
        <is>
          <t>N</t>
        </is>
      </c>
      <c r="F534" s="72" t="inlineStr">
        <is>
          <t>Rapport factuel d'un jugement judiciaire par un média public.</t>
        </is>
      </c>
      <c r="G534" s="73" t="inlineStr">
        <is>
          <t>Oui</t>
        </is>
      </c>
      <c r="H534" s="72" t="inlineStr">
        <is>
          <t>Commentaires questionnent l'absence d'infos sur Nespresso ou la notion d'erreur.</t>
        </is>
      </c>
      <c r="I534" s="73" t="n">
        <v>2</v>
      </c>
      <c r="J534" s="73" t="n">
        <v>8</v>
      </c>
      <c r="K534" s="74">
        <f>IFERROR(I534/J534,0)</f>
        <v/>
      </c>
      <c r="L534" s="73" t="n">
        <v>120</v>
      </c>
      <c r="M534" s="73" t="n">
        <v>16481</v>
      </c>
      <c r="N534" s="73" t="n">
        <v>0</v>
      </c>
      <c r="O534" s="72" t="inlineStr">
        <is>
          <t>Image_Carrousel</t>
        </is>
      </c>
    </row>
    <row r="535" ht="13.5" customHeight="1" s="109">
      <c r="A535" s="35" t="inlineStr">
        <is>
          <t>https://www.instagram.com/p/DUqmYMBDA1G/</t>
        </is>
      </c>
      <c r="B535" s="35" t="inlineStr">
        <is>
          <t>Culture &amp; Loisirs</t>
        </is>
      </c>
      <c r="C535" s="35" t="inlineStr">
        <is>
          <t>Medias</t>
        </is>
      </c>
      <c r="D535" s="36" t="n">
        <v>40</v>
      </c>
      <c r="E535" s="36" t="inlineStr">
        <is>
          <t>G</t>
        </is>
      </c>
      <c r="F535" s="35" t="inlineStr">
        <is>
          <t>RTS, service public, traite sujets divers, ton informel, léger penchant social.</t>
        </is>
      </c>
      <c r="G535" s="36" t="inlineStr">
        <is>
          <t>Oui</t>
        </is>
      </c>
      <c r="H535" s="35" t="inlineStr">
        <is>
          <t>Erreur factuelle de superficie corrigée par un commentaire.</t>
        </is>
      </c>
      <c r="I535" s="36" t="n">
        <v>1</v>
      </c>
      <c r="J535" s="36" t="n">
        <v>10</v>
      </c>
      <c r="K535" s="74">
        <f>IFERROR(I535/J535,0)</f>
        <v/>
      </c>
      <c r="L535" s="36" t="n">
        <v>44</v>
      </c>
      <c r="M535" s="36" t="n">
        <v>4459</v>
      </c>
      <c r="N535" s="36" t="n">
        <v>0</v>
      </c>
      <c r="O535" s="35" t="inlineStr">
        <is>
          <t>Image_Carrousel</t>
        </is>
      </c>
    </row>
    <row r="536" ht="13.5" customHeight="1" s="109">
      <c r="A536" s="72" t="inlineStr">
        <is>
          <t>https://www.instagram.com/p/DUsF1fYifT0/</t>
        </is>
      </c>
      <c r="B536" s="72" t="inlineStr">
        <is>
          <t>Societe &amp; Droits</t>
        </is>
      </c>
      <c r="C536" s="72" t="inlineStr">
        <is>
          <t>Faits de societe</t>
        </is>
      </c>
      <c r="D536" s="73" t="n">
        <v>45</v>
      </c>
      <c r="E536" s="73" t="inlineStr">
        <is>
          <t>N</t>
        </is>
      </c>
      <c r="F536" s="72" t="inlineStr">
        <is>
          <t>RTS est un média de service public, généralement perçu comme neutre.</t>
        </is>
      </c>
      <c r="G536" s="73" t="inlineStr">
        <is>
          <t>Non</t>
        </is>
      </c>
      <c r="H536" s="72" t="inlineStr">
        <is>
          <t>Aucune critique du média dans les commentaires fournis.</t>
        </is>
      </c>
      <c r="I536" s="73" t="n">
        <v>0</v>
      </c>
      <c r="J536" s="73" t="n">
        <v>4</v>
      </c>
      <c r="K536" s="74">
        <f>IFERROR(I536/J536,0)</f>
        <v/>
      </c>
      <c r="L536" s="73" t="n">
        <v>183</v>
      </c>
      <c r="M536" s="73" t="n">
        <v>5026</v>
      </c>
      <c r="N536" s="73" t="n">
        <v>0</v>
      </c>
      <c r="O536" s="72" t="inlineStr">
        <is>
          <t>Image_Carrousel</t>
        </is>
      </c>
    </row>
    <row r="537" ht="13.5" customHeight="1" s="109">
      <c r="A537" s="35" t="inlineStr">
        <is>
          <t>https://www.instagram.com/p/DUsW_uHEup1/</t>
        </is>
      </c>
      <c r="B537" s="35" t="inlineStr">
        <is>
          <t>Securite &amp; Justice</t>
        </is>
      </c>
      <c r="C537" s="35" t="inlineStr">
        <is>
          <t>Ordre public</t>
        </is>
      </c>
      <c r="D537" s="36" t="n">
        <v>45</v>
      </c>
      <c r="E537" s="36" t="inlineStr">
        <is>
          <t>N</t>
        </is>
      </c>
      <c r="F537" s="35" t="inlineStr">
        <is>
          <t>Reportage factuel sans prise de position explicite, typique d'un média public.</t>
        </is>
      </c>
      <c r="G537" s="36" t="inlineStr">
        <is>
          <t>Non</t>
        </is>
      </c>
      <c r="H537" s="35" t="n"/>
      <c r="I537" s="36" t="n">
        <v>0</v>
      </c>
      <c r="J537" s="36" t="n">
        <v>4</v>
      </c>
      <c r="K537" s="74">
        <f>IFERROR(I537/J537,0)</f>
        <v/>
      </c>
      <c r="L537" s="36" t="n">
        <v>23</v>
      </c>
      <c r="M537" s="36" t="n">
        <v>1924</v>
      </c>
      <c r="N537" s="36" t="n">
        <v>0</v>
      </c>
      <c r="O537" s="35" t="inlineStr">
        <is>
          <t>Image_Carrousel</t>
        </is>
      </c>
    </row>
    <row r="538" ht="13.5" customHeight="1" s="109">
      <c r="A538" s="72" t="inlineStr">
        <is>
          <t>https://www.instagram.com/p/DUpaMU7CJq6/</t>
        </is>
      </c>
      <c r="B538" s="72" t="inlineStr">
        <is>
          <t>Societe &amp; Droits</t>
        </is>
      </c>
      <c r="C538" s="72" t="inlineStr">
        <is>
          <t>Faits de societe</t>
        </is>
      </c>
      <c r="D538" s="73" t="n">
        <v>50</v>
      </c>
      <c r="E538" s="73" t="inlineStr">
        <is>
          <t>N</t>
        </is>
      </c>
      <c r="F538" s="72" t="inlineStr">
        <is>
          <t>Le média rapporte les faits et les positions des acteurs sans parti pris.</t>
        </is>
      </c>
      <c r="G538" s="73" t="inlineStr">
        <is>
          <t>Non</t>
        </is>
      </c>
      <c r="H538" s="72" t="inlineStr">
        <is>
          <t>Aucune critique explicite du média n'a été formulée.</t>
        </is>
      </c>
      <c r="I538" s="73" t="n">
        <v>0</v>
      </c>
      <c r="J538" s="73" t="n">
        <v>6</v>
      </c>
      <c r="K538" s="74">
        <f>IFERROR(I538/J538,0)</f>
        <v/>
      </c>
      <c r="L538" s="73" t="n">
        <v>20</v>
      </c>
      <c r="M538" s="73" t="n">
        <v>787</v>
      </c>
      <c r="N538" s="73" t="n">
        <v>0</v>
      </c>
      <c r="O538" s="72" t="inlineStr">
        <is>
          <t>Image_Carrousel</t>
        </is>
      </c>
    </row>
    <row r="539" ht="13.5" customHeight="1" s="109">
      <c r="A539" s="35" t="inlineStr">
        <is>
          <t>https://www.instagram.com/p/DUphDJ3CV6t/</t>
        </is>
      </c>
      <c r="B539" s="35" t="inlineStr">
        <is>
          <t>Economie &amp; Travail</t>
        </is>
      </c>
      <c r="C539" s="35" t="inlineStr">
        <is>
          <t>Marche du travail</t>
        </is>
      </c>
      <c r="D539" s="36" t="n">
        <v>35</v>
      </c>
      <c r="E539" s="36" t="inlineStr">
        <is>
          <t>G</t>
        </is>
      </c>
      <c r="F539" s="35" t="inlineStr">
        <is>
          <t>Média de service public suisse, tend vers le centre-gauche.</t>
        </is>
      </c>
      <c r="G539" s="36" t="inlineStr">
        <is>
          <t>Oui</t>
        </is>
      </c>
      <c r="H539" s="35" t="inlineStr">
        <is>
          <t>Pertinence du sujet et focus géographique.</t>
        </is>
      </c>
      <c r="I539" s="36" t="n">
        <v>2</v>
      </c>
      <c r="J539" s="36" t="n">
        <v>7</v>
      </c>
      <c r="K539" s="74">
        <f>IFERROR(I539/J539,0)</f>
        <v/>
      </c>
      <c r="L539" s="36" t="n">
        <v>67</v>
      </c>
      <c r="M539" s="36" t="n">
        <v>3901</v>
      </c>
      <c r="N539" s="36" t="n">
        <v>0</v>
      </c>
      <c r="O539" s="35" t="inlineStr">
        <is>
          <t>Image_Carrousel</t>
        </is>
      </c>
    </row>
    <row r="540" ht="13.5" customHeight="1" s="109">
      <c r="A540" s="72" t="inlineStr">
        <is>
          <t>https://www.instagram.com/p/DUpTbrdAsfh/</t>
        </is>
      </c>
      <c r="B540" s="72" t="inlineStr">
        <is>
          <t>Securite &amp; Justice</t>
        </is>
      </c>
      <c r="C540" s="72" t="inlineStr">
        <is>
          <t>Justice</t>
        </is>
      </c>
      <c r="D540" s="73" t="n">
        <v>50</v>
      </c>
      <c r="E540" s="73" t="inlineStr">
        <is>
          <t>N</t>
        </is>
      </c>
      <c r="F540" s="72" t="inlineStr">
        <is>
          <t>RTS est un diffuseur public, l'article est un fact-check impartial sur une affaire de justice.</t>
        </is>
      </c>
      <c r="G540" s="73" t="inlineStr">
        <is>
          <t>Oui</t>
        </is>
      </c>
      <c r="H540" s="72" t="inlineStr">
        <is>
          <t>Accusations de partialité, minimisation des faits et d'être payé.</t>
        </is>
      </c>
      <c r="I540" s="73" t="n">
        <v>5</v>
      </c>
      <c r="J540" s="73" t="n">
        <v>10</v>
      </c>
      <c r="K540" s="74">
        <f>IFERROR(I540/J540,0)</f>
        <v/>
      </c>
      <c r="L540" s="73" t="n">
        <v>334</v>
      </c>
      <c r="M540" s="73" t="n">
        <v>3773</v>
      </c>
      <c r="N540" s="73" t="n">
        <v>130700</v>
      </c>
      <c r="O540" s="72" t="inlineStr">
        <is>
          <t>Video</t>
        </is>
      </c>
    </row>
    <row r="541" ht="13.5" customHeight="1" s="109">
      <c r="A541" s="35" t="inlineStr">
        <is>
          <t>https://www.instagram.com/p/DUp5oUpiAwW/</t>
        </is>
      </c>
      <c r="B541" s="35" t="inlineStr">
        <is>
          <t>Securite &amp; Justice</t>
        </is>
      </c>
      <c r="C541" s="35" t="inlineStr">
        <is>
          <t>Justice</t>
        </is>
      </c>
      <c r="D541" s="36" t="n">
        <v>50</v>
      </c>
      <c r="E541" s="36" t="inlineStr">
        <is>
          <t>N</t>
        </is>
      </c>
      <c r="F541" s="35" t="inlineStr">
        <is>
          <t>Média public suisse, objectif et factuel.</t>
        </is>
      </c>
      <c r="G541" s="36" t="inlineStr">
        <is>
          <t>Non</t>
        </is>
      </c>
      <c r="H541" s="35" t="inlineStr">
        <is>
          <t>Aucune critique utilisateur fournie.</t>
        </is>
      </c>
      <c r="I541" s="36" t="n">
        <v>0</v>
      </c>
      <c r="J541" s="36" t="n">
        <v>0</v>
      </c>
      <c r="K541" s="74">
        <f>IFERROR(I541/J541,0)</f>
        <v/>
      </c>
      <c r="L541" s="36" t="n">
        <v>80</v>
      </c>
      <c r="M541" s="36" t="n">
        <v>11741</v>
      </c>
      <c r="N541" s="36" t="n">
        <v>0</v>
      </c>
      <c r="O541" s="35" t="inlineStr">
        <is>
          <t>Image_Carrousel</t>
        </is>
      </c>
    </row>
    <row r="542" ht="13.5" customHeight="1" s="109">
      <c r="A542" s="72" t="inlineStr">
        <is>
          <t>https://www.instagram.com/p/DUoOp8IiNVa/</t>
        </is>
      </c>
      <c r="B542" s="72" t="inlineStr">
        <is>
          <t>Societe &amp; Droits</t>
        </is>
      </c>
      <c r="C542" s="72" t="inlineStr">
        <is>
          <t>Faits de societe</t>
        </is>
      </c>
      <c r="D542" s="73" t="n">
        <v>50</v>
      </c>
      <c r="E542" s="73" t="inlineStr">
        <is>
          <t>N</t>
        </is>
      </c>
      <c r="F542" s="72" t="inlineStr">
        <is>
          <t>Média de service public suisse romand, cherche la neutralité et l'information factuelle.</t>
        </is>
      </c>
      <c r="G542" s="73" t="inlineStr">
        <is>
          <t>Non</t>
        </is>
      </c>
      <c r="H542" s="72" t="n"/>
      <c r="I542" s="73" t="n">
        <v>0</v>
      </c>
      <c r="J542" s="73" t="n">
        <v>4</v>
      </c>
      <c r="K542" s="74">
        <f>IFERROR(I542/J542,0)</f>
        <v/>
      </c>
      <c r="L542" s="73" t="n">
        <v>136</v>
      </c>
      <c r="M542" s="73" t="n">
        <v>4634</v>
      </c>
      <c r="N542" s="73" t="n">
        <v>0</v>
      </c>
      <c r="O542" s="72" t="inlineStr">
        <is>
          <t>Image_Carrousel</t>
        </is>
      </c>
    </row>
    <row r="543" ht="13.5" customHeight="1" s="109">
      <c r="A543" s="35" t="inlineStr">
        <is>
          <t>https://www.instagram.com/p/DUu76N0E-3H/</t>
        </is>
      </c>
      <c r="B543" s="35" t="inlineStr">
        <is>
          <t>Culture &amp; Loisirs</t>
        </is>
      </c>
      <c r="C543" s="35" t="inlineStr">
        <is>
          <t>Medias</t>
        </is>
      </c>
      <c r="D543" s="36" t="n">
        <v>50</v>
      </c>
      <c r="E543" s="36" t="inlineStr">
        <is>
          <t>N</t>
        </is>
      </c>
      <c r="F543" s="35" t="inlineStr">
        <is>
          <t>Article descriptif d'une tendance culturelle, sans prise de position politique marquée.</t>
        </is>
      </c>
      <c r="G543" s="36" t="inlineStr">
        <is>
          <t>Oui</t>
        </is>
      </c>
      <c r="H543" s="35" t="inlineStr">
        <is>
          <t>Un commentaire questionne l'exactitude d'une affirmation du média.</t>
        </is>
      </c>
      <c r="I543" s="36" t="n">
        <v>1</v>
      </c>
      <c r="J543" s="36" t="n">
        <v>6</v>
      </c>
      <c r="K543" s="74">
        <f>IFERROR(I543/J543,0)</f>
        <v/>
      </c>
      <c r="L543" s="36" t="n">
        <v>25</v>
      </c>
      <c r="M543" s="36" t="n">
        <v>2331</v>
      </c>
      <c r="N543" s="36" t="n">
        <v>55179</v>
      </c>
      <c r="O543" s="35" t="inlineStr">
        <is>
          <t>Video</t>
        </is>
      </c>
    </row>
    <row r="544" ht="13.5" customHeight="1" s="109">
      <c r="A544" s="72" t="inlineStr">
        <is>
          <t>https://www.instagram.com/p/DUpyNYfErCL/</t>
        </is>
      </c>
      <c r="B544" s="72" t="inlineStr">
        <is>
          <t>Environnement &amp; Nature</t>
        </is>
      </c>
      <c r="C544" s="72" t="inlineStr">
        <is>
          <t>Climat / Ecologie</t>
        </is>
      </c>
      <c r="D544" s="73" t="n">
        <v>45</v>
      </c>
      <c r="E544" s="73" t="inlineStr">
        <is>
          <t>N</t>
        </is>
      </c>
      <c r="F544" s="72" t="inlineStr">
        <is>
          <t>Média public suisse (RTS), réputé pour son approche centriste et factuelle.</t>
        </is>
      </c>
      <c r="G544" s="73" t="inlineStr">
        <is>
          <t>Non</t>
        </is>
      </c>
      <c r="H544" s="72" t="n"/>
      <c r="I544" s="73" t="n">
        <v>0</v>
      </c>
      <c r="J544" s="73" t="n">
        <v>4</v>
      </c>
      <c r="K544" s="74">
        <f>IFERROR(I544/J544,0)</f>
        <v/>
      </c>
      <c r="L544" s="73" t="n">
        <v>4</v>
      </c>
      <c r="M544" s="73" t="n">
        <v>1174</v>
      </c>
      <c r="N544" s="73" t="n">
        <v>0</v>
      </c>
      <c r="O544" s="72" t="inlineStr">
        <is>
          <t>Image_Carrousel</t>
        </is>
      </c>
    </row>
    <row r="545" ht="13.5" customHeight="1" s="109">
      <c r="A545" s="35" t="inlineStr">
        <is>
          <t>https://www.instagram.com/p/DUqDX1fAZH3/</t>
        </is>
      </c>
      <c r="B545" s="35" t="inlineStr">
        <is>
          <t>Culture &amp; Loisirs</t>
        </is>
      </c>
      <c r="C545" s="35" t="inlineStr">
        <is>
          <t>Arts</t>
        </is>
      </c>
      <c r="D545" s="36" t="n">
        <v>50</v>
      </c>
      <c r="E545" s="36" t="inlineStr">
        <is>
          <t>N</t>
        </is>
      </c>
      <c r="F545" s="35" t="inlineStr">
        <is>
          <t>RTS, service public, rapport factuel sur événement culturel sans biais apparent.</t>
        </is>
      </c>
      <c r="G545" s="36" t="inlineStr">
        <is>
          <t>Non</t>
        </is>
      </c>
      <c r="H545" s="35" t="inlineStr">
        <is>
          <t>Aucune critique du media ou de son traitement de l'information.</t>
        </is>
      </c>
      <c r="I545" s="36" t="n">
        <v>0</v>
      </c>
      <c r="J545" s="36" t="n">
        <v>6</v>
      </c>
      <c r="K545" s="74">
        <f>IFERROR(I545/J545,0)</f>
        <v/>
      </c>
      <c r="L545" s="36" t="n">
        <v>7</v>
      </c>
      <c r="M545" s="36" t="n">
        <v>1087</v>
      </c>
      <c r="N545" s="36" t="n">
        <v>0</v>
      </c>
      <c r="O545" s="35" t="inlineStr">
        <is>
          <t>Image_Carrousel</t>
        </is>
      </c>
    </row>
    <row r="546" ht="13.5" customHeight="1" s="109">
      <c r="A546" s="72" t="inlineStr">
        <is>
          <t>https://www.instagram.com/p/DUqDbFSCDoV/</t>
        </is>
      </c>
      <c r="B546" s="72" t="inlineStr">
        <is>
          <t>Societe &amp; Droits</t>
        </is>
      </c>
      <c r="C546" s="72" t="inlineStr">
        <is>
          <t>Questions de Genre</t>
        </is>
      </c>
      <c r="D546" s="73" t="n">
        <v>40</v>
      </c>
      <c r="E546" s="73" t="inlineStr">
        <is>
          <t>N</t>
        </is>
      </c>
      <c r="F546" s="72" t="inlineStr">
        <is>
          <t>Mise en avant du courage de la victime et de l'icône féministe; ton informatif.</t>
        </is>
      </c>
      <c r="G546" s="73" t="inlineStr">
        <is>
          <t>Non</t>
        </is>
      </c>
      <c r="H546" s="72" t="n"/>
      <c r="I546" s="73" t="n">
        <v>0</v>
      </c>
      <c r="J546" s="73" t="n">
        <v>3</v>
      </c>
      <c r="K546" s="74">
        <f>IFERROR(I546/J546,0)</f>
        <v/>
      </c>
      <c r="L546" s="73" t="n">
        <v>38</v>
      </c>
      <c r="M546" s="73" t="n">
        <v>4077</v>
      </c>
      <c r="N546" s="73" t="n">
        <v>0</v>
      </c>
      <c r="O546" s="72" t="inlineStr">
        <is>
          <t>Image_Carrousel</t>
        </is>
      </c>
    </row>
    <row r="547" ht="13.5" customHeight="1" s="109">
      <c r="A547" s="35" t="inlineStr">
        <is>
          <t>https://www.instagram.com/p/DUqsqjrCdle/</t>
        </is>
      </c>
      <c r="B547" s="35" t="inlineStr">
        <is>
          <t>Environnement &amp; Nature</t>
        </is>
      </c>
      <c r="C547" s="35" t="inlineStr">
        <is>
          <t>Climat / Ecologie</t>
        </is>
      </c>
      <c r="D547" s="36" t="n">
        <v>40</v>
      </c>
      <c r="E547" s="36" t="inlineStr">
        <is>
          <t>G</t>
        </is>
      </c>
      <c r="F547" s="35" t="inlineStr">
        <is>
          <t>Information factuelle sur l'historique et les risques climatiques futurs, aligné consensus scientifique.</t>
        </is>
      </c>
      <c r="G547" s="36" t="inlineStr">
        <is>
          <t>Oui</t>
        </is>
      </c>
      <c r="H547" s="35" t="inlineStr">
        <is>
          <t>Ton jugé pessimiste et lien climatique remis en question.</t>
        </is>
      </c>
      <c r="I547" s="36" t="n">
        <v>2</v>
      </c>
      <c r="J547" s="36" t="n">
        <v>5</v>
      </c>
      <c r="K547" s="74">
        <f>IFERROR(I547/J547,0)</f>
        <v/>
      </c>
      <c r="L547" s="36" t="n">
        <v>6</v>
      </c>
      <c r="M547" s="36" t="n">
        <v>3531</v>
      </c>
      <c r="N547" s="36" t="n">
        <v>64270</v>
      </c>
      <c r="O547" s="35" t="inlineStr">
        <is>
          <t>Video</t>
        </is>
      </c>
    </row>
    <row r="548" ht="13.5" customHeight="1" s="109">
      <c r="A548" s="72" t="inlineStr">
        <is>
          <t>https://www.instagram.com/p/DUqCUrain85/</t>
        </is>
      </c>
      <c r="B548" s="72" t="inlineStr">
        <is>
          <t>Culture &amp; Loisirs</t>
        </is>
      </c>
      <c r="C548" s="72" t="inlineStr">
        <is>
          <t>Arts</t>
        </is>
      </c>
      <c r="D548" s="73" t="n">
        <v>50</v>
      </c>
      <c r="E548" s="73" t="inlineStr">
        <is>
          <t>N</t>
        </is>
      </c>
      <c r="F548" s="72" t="inlineStr">
        <is>
          <t>Média public suisse, rapport factuel et équilibré, recherche la neutralité.</t>
        </is>
      </c>
      <c r="G548" s="73" t="inlineStr">
        <is>
          <t>Non</t>
        </is>
      </c>
      <c r="H548" s="72" t="n"/>
      <c r="I548" s="73" t="n">
        <v>0</v>
      </c>
      <c r="J548" s="73" t="n">
        <v>10</v>
      </c>
      <c r="K548" s="74">
        <f>IFERROR(I548/J548,0)</f>
        <v/>
      </c>
      <c r="L548" s="73" t="n">
        <v>12</v>
      </c>
      <c r="M548" s="73" t="n">
        <v>3766</v>
      </c>
      <c r="N548" s="73" t="n">
        <v>0</v>
      </c>
      <c r="O548" s="72" t="inlineStr">
        <is>
          <t>Image_Carrousel</t>
        </is>
      </c>
    </row>
    <row r="549" ht="13.5" customHeight="1" s="109">
      <c r="A549" s="35" t="inlineStr">
        <is>
          <t>https://www.instagram.com/p/DUoOpH9DHh0/</t>
        </is>
      </c>
      <c r="B549" s="35" t="inlineStr">
        <is>
          <t>Culture &amp; Loisirs</t>
        </is>
      </c>
      <c r="C549" s="35" t="inlineStr">
        <is>
          <t>Sport</t>
        </is>
      </c>
      <c r="D549" s="36" t="n">
        <v>50</v>
      </c>
      <c r="E549" s="36" t="inlineStr">
        <is>
          <t>N</t>
        </is>
      </c>
      <c r="F549" s="35" t="inlineStr">
        <is>
          <t>RTS est un média de service public, visant la neutralité et l'information factuelle.</t>
        </is>
      </c>
      <c r="G549" s="36" t="inlineStr">
        <is>
          <t>Non</t>
        </is>
      </c>
      <c r="H549" s="35" t="n"/>
      <c r="I549" s="36" t="n">
        <v>0</v>
      </c>
      <c r="J549" s="36" t="n">
        <v>10</v>
      </c>
      <c r="K549" s="74">
        <f>IFERROR(I549/J549,0)</f>
        <v/>
      </c>
      <c r="L549" s="36" t="n">
        <v>23</v>
      </c>
      <c r="M549" s="36" t="n">
        <v>10450</v>
      </c>
      <c r="N549" s="36" t="n">
        <v>0</v>
      </c>
      <c r="O549" s="35" t="inlineStr">
        <is>
          <t>Image_Carrousel</t>
        </is>
      </c>
    </row>
    <row r="550" ht="13.5" customHeight="1" s="109">
      <c r="A550" s="72" t="inlineStr">
        <is>
          <t>https://www.instagram.com/p/DUncT99jAB6/</t>
        </is>
      </c>
      <c r="B550" s="72" t="inlineStr">
        <is>
          <t>Culture &amp; Loisirs</t>
        </is>
      </c>
      <c r="C550" s="72" t="inlineStr">
        <is>
          <t>Sport</t>
        </is>
      </c>
      <c r="D550" s="73" t="n">
        <v>50</v>
      </c>
      <c r="E550" s="73" t="inlineStr">
        <is>
          <t>N</t>
        </is>
      </c>
      <c r="F550" s="72" t="inlineStr">
        <is>
          <t>Média public, ton enthousiaste mais neutre sur un sujet sportif consensuel.</t>
        </is>
      </c>
      <c r="G550" s="73" t="inlineStr">
        <is>
          <t>Non</t>
        </is>
      </c>
      <c r="H550" s="72" t="n"/>
      <c r="I550" s="73" t="n">
        <v>0</v>
      </c>
      <c r="J550" s="73" t="n">
        <v>10</v>
      </c>
      <c r="K550" s="74">
        <f>IFERROR(I550/J550,0)</f>
        <v/>
      </c>
      <c r="L550" s="73" t="n">
        <v>71</v>
      </c>
      <c r="M550" s="73" t="n">
        <v>11567</v>
      </c>
      <c r="N550" s="73" t="n">
        <v>0</v>
      </c>
      <c r="O550" s="72" t="inlineStr">
        <is>
          <t>Image_Carrousel</t>
        </is>
      </c>
    </row>
    <row r="551" ht="13.5" customHeight="1" s="109">
      <c r="A551" s="35" t="inlineStr">
        <is>
          <t>https://www.instagram.com/p/DUnlmg4kUnp/</t>
        </is>
      </c>
      <c r="B551" s="35" t="inlineStr">
        <is>
          <t>Securite &amp; Justice</t>
        </is>
      </c>
      <c r="C551" s="35" t="inlineStr">
        <is>
          <t>Justice</t>
        </is>
      </c>
      <c r="D551" s="36" t="n">
        <v>40</v>
      </c>
      <c r="E551" s="36" t="inlineStr">
        <is>
          <t>N</t>
        </is>
      </c>
      <c r="F551" s="35" t="inlineStr">
        <is>
          <t>RTS, média de service public, reportage factuel sur un procès.</t>
        </is>
      </c>
      <c r="G551" s="36" t="inlineStr">
        <is>
          <t>Non</t>
        </is>
      </c>
      <c r="H551" s="35" t="n"/>
      <c r="I551" s="36" t="n">
        <v>0</v>
      </c>
      <c r="J551" s="36" t="n">
        <v>5</v>
      </c>
      <c r="K551" s="74">
        <f>IFERROR(I551/J551,0)</f>
        <v/>
      </c>
      <c r="L551" s="36" t="n">
        <v>5</v>
      </c>
      <c r="M551" s="36" t="n">
        <v>1410</v>
      </c>
      <c r="N551" s="36" t="n">
        <v>34622</v>
      </c>
      <c r="O551" s="35" t="inlineStr">
        <is>
          <t>Video</t>
        </is>
      </c>
    </row>
    <row r="552" ht="13.5" customHeight="1" s="109">
      <c r="A552" s="72" t="inlineStr">
        <is>
          <t>https://www.instagram.com/p/DUm8QtMDyAe/</t>
        </is>
      </c>
      <c r="B552" s="72" t="inlineStr">
        <is>
          <t>Securite &amp; Justice</t>
        </is>
      </c>
      <c r="C552" s="72" t="inlineStr">
        <is>
          <t>Justice</t>
        </is>
      </c>
      <c r="D552" s="73" t="n">
        <v>35</v>
      </c>
      <c r="E552" s="73" t="inlineStr">
        <is>
          <t>N</t>
        </is>
      </c>
      <c r="F552" s="72" t="inlineStr">
        <is>
          <t>RTS informe sur une loi absurde et sa réforme, favorisant l'adaptation législative.</t>
        </is>
      </c>
      <c r="G552" s="73" t="inlineStr">
        <is>
          <t>Oui</t>
        </is>
      </c>
      <c r="H552" s="72" t="inlineStr">
        <is>
          <t>Un commentaire questionne le sérieux de l'information, la comparant à de la satire.</t>
        </is>
      </c>
      <c r="I552" s="73" t="n">
        <v>1</v>
      </c>
      <c r="J552" s="73" t="n">
        <v>7</v>
      </c>
      <c r="K552" s="74">
        <f>IFERROR(I552/J552,0)</f>
        <v/>
      </c>
      <c r="L552" s="73" t="n">
        <v>418</v>
      </c>
      <c r="M552" s="73" t="n">
        <v>13343</v>
      </c>
      <c r="N552" s="73" t="n">
        <v>0</v>
      </c>
      <c r="O552" s="72" t="inlineStr">
        <is>
          <t>Image_Carrousel</t>
        </is>
      </c>
    </row>
    <row r="553" ht="13.5" customHeight="1" s="109">
      <c r="A553" s="35" t="inlineStr">
        <is>
          <t>https://www.instagram.com/p/DUnekoQD-h2/</t>
        </is>
      </c>
      <c r="B553" s="35" t="inlineStr">
        <is>
          <t>Economie &amp; Travail</t>
        </is>
      </c>
      <c r="C553" s="35" t="inlineStr">
        <is>
          <t>Consommation</t>
        </is>
      </c>
      <c r="D553" s="36" t="n">
        <v>50</v>
      </c>
      <c r="E553" s="36" t="inlineStr">
        <is>
          <t>N</t>
        </is>
      </c>
      <c r="F553" s="35" t="inlineStr">
        <is>
          <t>Média de service public, rapport factuel et neutre d'une étude d'université.</t>
        </is>
      </c>
      <c r="G553" s="36" t="inlineStr">
        <is>
          <t>Oui</t>
        </is>
      </c>
      <c r="H553" s="35" t="inlineStr">
        <is>
          <t>Sujet jugé futile ou accusation de manipulation de l'opinion publique.</t>
        </is>
      </c>
      <c r="I553" s="36" t="n">
        <v>2</v>
      </c>
      <c r="J553" s="36" t="n">
        <v>6</v>
      </c>
      <c r="K553" s="74">
        <f>IFERROR(I553/J553,0)</f>
        <v/>
      </c>
      <c r="L553" s="36" t="n">
        <v>106</v>
      </c>
      <c r="M553" s="36" t="n">
        <v>7955</v>
      </c>
      <c r="N553" s="36" t="n">
        <v>0</v>
      </c>
      <c r="O553" s="35" t="inlineStr">
        <is>
          <t>Image_Carrousel</t>
        </is>
      </c>
    </row>
    <row r="554" ht="13.5" customHeight="1" s="109">
      <c r="A554" s="72" t="inlineStr">
        <is>
          <t>https://www.instagram.com/p/DUnNaktAco7/</t>
        </is>
      </c>
      <c r="B554" s="72" t="inlineStr">
        <is>
          <t>Securite &amp; Justice</t>
        </is>
      </c>
      <c r="C554" s="72" t="inlineStr">
        <is>
          <t>Activites de Police</t>
        </is>
      </c>
      <c r="D554" s="73" t="n">
        <v>55</v>
      </c>
      <c r="E554" s="73" t="inlineStr">
        <is>
          <t>N</t>
        </is>
      </c>
      <c r="F554" s="72" t="inlineStr">
        <is>
          <t>Reportage factuel sur une décision institutionnelle de la police, sans critique. Tonalité neutre.</t>
        </is>
      </c>
      <c r="G554" s="73" t="inlineStr">
        <is>
          <t>Non</t>
        </is>
      </c>
      <c r="H554" s="72" t="inlineStr">
        <is>
          <t>Aucun commentaire ne critique le média directement.</t>
        </is>
      </c>
      <c r="I554" s="73" t="n">
        <v>0</v>
      </c>
      <c r="J554" s="73" t="n">
        <v>3</v>
      </c>
      <c r="K554" s="74">
        <f>IFERROR(I554/J554,0)</f>
        <v/>
      </c>
      <c r="L554" s="73" t="n">
        <v>172</v>
      </c>
      <c r="M554" s="73" t="n">
        <v>2361</v>
      </c>
      <c r="N554" s="73" t="n">
        <v>0</v>
      </c>
      <c r="O554" s="72" t="inlineStr">
        <is>
          <t>Image_Carrousel</t>
        </is>
      </c>
    </row>
    <row r="555" ht="13.5" customHeight="1" s="109">
      <c r="A555" s="35" t="inlineStr">
        <is>
          <t>https://www.instagram.com/p/DUnXtjSD5J5/</t>
        </is>
      </c>
      <c r="B555" s="35" t="inlineStr">
        <is>
          <t>Culture &amp; Loisirs</t>
        </is>
      </c>
      <c r="C555" s="35" t="inlineStr">
        <is>
          <t>Sport</t>
        </is>
      </c>
      <c r="D555" s="36" t="n">
        <v>35</v>
      </c>
      <c r="E555" s="36" t="inlineStr">
        <is>
          <t>G</t>
        </is>
      </c>
      <c r="F555" s="35" t="inlineStr">
        <is>
          <t>Média de service public, usage de langage inclusif 'skieur·euses'.</t>
        </is>
      </c>
      <c r="G555" s="36" t="inlineStr">
        <is>
          <t>Non</t>
        </is>
      </c>
      <c r="H555" s="35" t="n"/>
      <c r="I555" s="36" t="n">
        <v>0</v>
      </c>
      <c r="J555" s="36" t="n">
        <v>4</v>
      </c>
      <c r="K555" s="74">
        <f>IFERROR(I555/J555,0)</f>
        <v/>
      </c>
      <c r="L555" s="36" t="n">
        <v>4</v>
      </c>
      <c r="M555" s="36" t="n">
        <v>4443</v>
      </c>
      <c r="N555" s="36" t="n">
        <v>0</v>
      </c>
      <c r="O555" s="35" t="inlineStr">
        <is>
          <t>Image_Carrousel</t>
        </is>
      </c>
    </row>
    <row r="556" ht="13.5" customHeight="1" s="109">
      <c r="A556" s="72" t="inlineStr">
        <is>
          <t>https://www.instagram.com/p/DUm8v1tDpNY/</t>
        </is>
      </c>
      <c r="B556" s="72" t="inlineStr">
        <is>
          <t>Securite &amp; Justice</t>
        </is>
      </c>
      <c r="C556" s="72" t="inlineStr">
        <is>
          <t>Ordre public</t>
        </is>
      </c>
      <c r="D556" s="73" t="n">
        <v>45</v>
      </c>
      <c r="E556" s="73" t="inlineStr">
        <is>
          <t>N</t>
        </is>
      </c>
      <c r="F556" s="72" t="inlineStr">
        <is>
          <t>Média public, rapporte les faits sans commentaire politique, utilise écriture inclusive.</t>
        </is>
      </c>
      <c r="G556" s="73" t="inlineStr">
        <is>
          <t>Oui</t>
        </is>
      </c>
      <c r="H556" s="72" t="inlineStr">
        <is>
          <t>Biais sur le genre, manque de neutralité, coût financement public.</t>
        </is>
      </c>
      <c r="I556" s="73" t="n">
        <v>3</v>
      </c>
      <c r="J556" s="73" t="n">
        <v>5</v>
      </c>
      <c r="K556" s="74">
        <f>IFERROR(I556/J556,0)</f>
        <v/>
      </c>
      <c r="L556" s="73" t="n">
        <v>31</v>
      </c>
      <c r="M556" s="73" t="n">
        <v>4119</v>
      </c>
      <c r="N556" s="73" t="n">
        <v>0</v>
      </c>
      <c r="O556" s="72" t="inlineStr">
        <is>
          <t>Image_Carrousel</t>
        </is>
      </c>
    </row>
    <row r="557" ht="13.5" customHeight="1" s="109">
      <c r="A557" s="35" t="inlineStr">
        <is>
          <t>https://www.instagram.com/p/DUoBAqBDQKO/</t>
        </is>
      </c>
      <c r="B557" s="35" t="inlineStr">
        <is>
          <t>Securite &amp; Justice</t>
        </is>
      </c>
      <c r="C557" s="35" t="inlineStr">
        <is>
          <t>Justice</t>
        </is>
      </c>
      <c r="D557" s="36" t="n">
        <v>50</v>
      </c>
      <c r="E557" s="36" t="inlineStr">
        <is>
          <t>N</t>
        </is>
      </c>
      <c r="F557" s="35" t="inlineStr">
        <is>
          <t>RTS est un média de service public, cherchant l'objectivité.</t>
        </is>
      </c>
      <c r="G557" s="36" t="inlineStr">
        <is>
          <t>Oui</t>
        </is>
      </c>
      <c r="H557" s="35" t="inlineStr">
        <is>
          <t>Critique du style vestimentaire des présentateurs de la RTS.</t>
        </is>
      </c>
      <c r="I557" s="36" t="n">
        <v>1</v>
      </c>
      <c r="J557" s="36" t="n">
        <v>7</v>
      </c>
      <c r="K557" s="74">
        <f>IFERROR(I557/J557,0)</f>
        <v/>
      </c>
      <c r="L557" s="36" t="n">
        <v>9</v>
      </c>
      <c r="M557" s="36" t="n">
        <v>514</v>
      </c>
      <c r="N557" s="36" t="n">
        <v>26534</v>
      </c>
      <c r="O557" s="35" t="inlineStr">
        <is>
          <t>Video</t>
        </is>
      </c>
    </row>
    <row r="558" ht="13.5" customHeight="1" s="109">
      <c r="A558" s="72" t="inlineStr">
        <is>
          <t>https://www.instagram.com/p/DUn60VWjA3O/</t>
        </is>
      </c>
      <c r="B558" s="72" t="inlineStr">
        <is>
          <t>Societe &amp; Droits</t>
        </is>
      </c>
      <c r="C558" s="72" t="inlineStr">
        <is>
          <t>Faits de societe</t>
        </is>
      </c>
      <c r="D558" s="73" t="n">
        <v>30</v>
      </c>
      <c r="E558" s="73" t="inlineStr">
        <is>
          <t>G</t>
        </is>
      </c>
      <c r="F558" s="72" t="inlineStr">
        <is>
          <t>Expose les arnaques touchant les personnes âgées, et la critique de projets onéreux.</t>
        </is>
      </c>
      <c r="G558" s="73" t="inlineStr">
        <is>
          <t>Oui</t>
        </is>
      </c>
      <c r="H558" s="72" t="inlineStr">
        <is>
          <t>Le média a ciblé un opérateur alors que le problème est systémique.</t>
        </is>
      </c>
      <c r="I558" s="73" t="n">
        <v>1</v>
      </c>
      <c r="J558" s="73" t="n">
        <v>8</v>
      </c>
      <c r="K558" s="74">
        <f>IFERROR(I558/J558,0)</f>
        <v/>
      </c>
      <c r="L558" s="73" t="n">
        <v>74</v>
      </c>
      <c r="M558" s="73" t="n">
        <v>1842</v>
      </c>
      <c r="N558" s="73" t="n">
        <v>0</v>
      </c>
      <c r="O558" s="72" t="inlineStr">
        <is>
          <t>Image_Carrousel</t>
        </is>
      </c>
    </row>
    <row r="559" ht="13.5" customHeight="1" s="109">
      <c r="A559" s="35" t="inlineStr">
        <is>
          <t>https://www.instagram.com/p/DUlArKgjZtC/</t>
        </is>
      </c>
      <c r="B559" s="35" t="inlineStr">
        <is>
          <t>Politique &amp; Institutions</t>
        </is>
      </c>
      <c r="C559" s="35" t="inlineStr">
        <is>
          <t>Vie politique CH</t>
        </is>
      </c>
      <c r="D559" s="36" t="n">
        <v>45</v>
      </c>
      <c r="E559" s="36" t="inlineStr">
        <is>
          <t>N</t>
        </is>
      </c>
      <c r="F559" s="35" t="inlineStr">
        <is>
          <t>RTS, média de service public, rapporte des faits et analyses d'ONG.</t>
        </is>
      </c>
      <c r="G559" s="36" t="inlineStr">
        <is>
          <t>Non</t>
        </is>
      </c>
      <c r="H559" s="35" t="n"/>
      <c r="I559" s="36" t="n">
        <v>0</v>
      </c>
      <c r="J559" s="36" t="n">
        <v>8</v>
      </c>
      <c r="K559" s="74">
        <f>IFERROR(I559/J559,0)</f>
        <v/>
      </c>
      <c r="L559" s="36" t="n">
        <v>70</v>
      </c>
      <c r="M559" s="36" t="n">
        <v>2757</v>
      </c>
      <c r="N559" s="36" t="n">
        <v>0</v>
      </c>
      <c r="O559" s="35" t="inlineStr">
        <is>
          <t>Image_Carrousel</t>
        </is>
      </c>
    </row>
    <row r="560" ht="13.5" customHeight="1" s="109">
      <c r="A560" s="72" t="inlineStr">
        <is>
          <t>https://www.instagram.com/p/DUlp3s5DcMJ/</t>
        </is>
      </c>
      <c r="B560" s="72" t="inlineStr">
        <is>
          <t>Securite &amp; Justice</t>
        </is>
      </c>
      <c r="C560" s="72" t="inlineStr">
        <is>
          <t>Ordre public</t>
        </is>
      </c>
      <c r="D560" s="73" t="n">
        <v>45</v>
      </c>
      <c r="E560" s="73" t="inlineStr">
        <is>
          <t>N</t>
        </is>
      </c>
      <c r="F560" s="72" t="inlineStr">
        <is>
          <t>RTS, service public, neutre factuel, léger penchant G.</t>
        </is>
      </c>
      <c r="G560" s="73" t="inlineStr">
        <is>
          <t>Non</t>
        </is>
      </c>
      <c r="H560" s="72" t="n"/>
      <c r="I560" s="73" t="n">
        <v>0</v>
      </c>
      <c r="J560" s="73" t="n">
        <v>8</v>
      </c>
      <c r="K560" s="74">
        <f>IFERROR(I560/J560,0)</f>
        <v/>
      </c>
      <c r="L560" s="73" t="n">
        <v>48</v>
      </c>
      <c r="M560" s="73" t="n">
        <v>4176</v>
      </c>
      <c r="N560" s="73" t="n">
        <v>0</v>
      </c>
      <c r="O560" s="72" t="inlineStr">
        <is>
          <t>Image_Carrousel</t>
        </is>
      </c>
    </row>
    <row r="561" ht="13.5" customHeight="1" s="109">
      <c r="A561" s="35" t="inlineStr">
        <is>
          <t>https://www.instagram.com/p/DUkopcQgStL/</t>
        </is>
      </c>
      <c r="B561" s="35" t="inlineStr">
        <is>
          <t>Securite &amp; Justice</t>
        </is>
      </c>
      <c r="C561" s="35" t="inlineStr">
        <is>
          <t>Ordre public</t>
        </is>
      </c>
      <c r="D561" s="36" t="n">
        <v>45</v>
      </c>
      <c r="E561" s="36" t="inlineStr">
        <is>
          <t>N</t>
        </is>
      </c>
      <c r="F561" s="35" t="inlineStr">
        <is>
          <t>RTS, service public suisse, tend vers la neutralité informationnelle et la rigueur journalistique.</t>
        </is>
      </c>
      <c r="G561" s="36" t="inlineStr">
        <is>
          <t>Non</t>
        </is>
      </c>
      <c r="H561" s="35" t="n"/>
      <c r="I561" s="36" t="n">
        <v>0</v>
      </c>
      <c r="J561" s="36" t="n">
        <v>0</v>
      </c>
      <c r="K561" s="74">
        <f>IFERROR(I561/J561,0)</f>
        <v/>
      </c>
      <c r="L561" s="36" t="n">
        <v>0</v>
      </c>
      <c r="M561" s="36" t="n">
        <v>1823</v>
      </c>
      <c r="N561" s="36" t="n">
        <v>51164</v>
      </c>
      <c r="O561" s="35" t="inlineStr">
        <is>
          <t>Video</t>
        </is>
      </c>
    </row>
    <row r="562" ht="13.5" customHeight="1" s="109">
      <c r="A562" s="72" t="inlineStr">
        <is>
          <t>https://www.instagram.com/p/DUlVWTUjAY8/</t>
        </is>
      </c>
      <c r="B562" s="72" t="inlineStr">
        <is>
          <t>Securite &amp; Justice</t>
        </is>
      </c>
      <c r="C562" s="72" t="inlineStr">
        <is>
          <t>Justice</t>
        </is>
      </c>
      <c r="D562" s="73" t="n">
        <v>40</v>
      </c>
      <c r="E562" s="73" t="inlineStr">
        <is>
          <t>N</t>
        </is>
      </c>
      <c r="F562" s="72" t="inlineStr">
        <is>
          <t>Média public, rapporte les faits et propose une analyse experte sans parti pris apparent.</t>
        </is>
      </c>
      <c r="G562" s="73" t="inlineStr">
        <is>
          <t>Oui</t>
        </is>
      </c>
      <c r="H562" s="72" t="inlineStr">
        <is>
          <t>Source experte questionnée, anticipation de biais narratif.</t>
        </is>
      </c>
      <c r="I562" s="73" t="n">
        <v>2</v>
      </c>
      <c r="J562" s="73" t="n">
        <v>7</v>
      </c>
      <c r="K562" s="74">
        <f>IFERROR(I562/J562,0)</f>
        <v/>
      </c>
      <c r="L562" s="73" t="n">
        <v>41</v>
      </c>
      <c r="M562" s="73" t="n">
        <v>3406</v>
      </c>
      <c r="N562" s="73" t="n">
        <v>0</v>
      </c>
      <c r="O562" s="72" t="inlineStr">
        <is>
          <t>Image_Carrousel</t>
        </is>
      </c>
    </row>
    <row r="563" ht="13.5" customHeight="1" s="109">
      <c r="A563" s="35" t="inlineStr">
        <is>
          <t>https://www.instagram.com/p/DUlcVd-DCSz/</t>
        </is>
      </c>
      <c r="B563" s="35" t="inlineStr">
        <is>
          <t>Economie &amp; Travail</t>
        </is>
      </c>
      <c r="C563" s="35" t="inlineStr">
        <is>
          <t>Marche du travail</t>
        </is>
      </c>
      <c r="D563" s="36" t="n">
        <v>45</v>
      </c>
      <c r="E563" s="36" t="inlineStr">
        <is>
          <t>N</t>
        </is>
      </c>
      <c r="F563" s="35" t="inlineStr">
        <is>
          <t>RTS aborde des défis sociétaux contemporains, comme le marché du travail pour la Gen Z.</t>
        </is>
      </c>
      <c r="G563" s="36" t="inlineStr">
        <is>
          <t>Non</t>
        </is>
      </c>
      <c r="H563" s="35" t="n"/>
      <c r="I563" s="36" t="n">
        <v>0</v>
      </c>
      <c r="J563" s="36" t="n">
        <v>6</v>
      </c>
      <c r="K563" s="74">
        <f>IFERROR(I563/J563,0)</f>
        <v/>
      </c>
      <c r="L563" s="36" t="n">
        <v>132</v>
      </c>
      <c r="M563" s="36" t="n">
        <v>3603</v>
      </c>
      <c r="N563" s="36" t="n">
        <v>0</v>
      </c>
      <c r="O563" s="35" t="inlineStr">
        <is>
          <t>Image_Carrousel</t>
        </is>
      </c>
    </row>
    <row r="564" ht="13.5" customHeight="1" s="109">
      <c r="A564" s="72" t="inlineStr">
        <is>
          <t>https://www.instagram.com/p/DUiKghVgrHg/</t>
        </is>
      </c>
      <c r="B564" s="72" t="inlineStr">
        <is>
          <t>Culture &amp; Loisirs</t>
        </is>
      </c>
      <c r="C564" s="72" t="inlineStr">
        <is>
          <t>Sport</t>
        </is>
      </c>
      <c r="D564" s="73" t="n">
        <v>45</v>
      </c>
      <c r="E564" s="73" t="inlineStr">
        <is>
          <t>N</t>
        </is>
      </c>
      <c r="F564" s="72" t="inlineStr">
        <is>
          <t>Média de service public, neutre sur ce sujet car axé sur le sport et la bienfaisance.</t>
        </is>
      </c>
      <c r="G564" s="73" t="inlineStr">
        <is>
          <t>Oui</t>
        </is>
      </c>
      <c r="H564" s="72" t="inlineStr">
        <is>
          <t>Correction terminologique sur l'activité sportive mentionnée (aviron vs rame).</t>
        </is>
      </c>
      <c r="I564" s="73" t="n">
        <v>1</v>
      </c>
      <c r="J564" s="73" t="n">
        <v>11</v>
      </c>
      <c r="K564" s="74">
        <f>IFERROR(I564/J564,0)</f>
        <v/>
      </c>
      <c r="L564" s="73" t="n">
        <v>16</v>
      </c>
      <c r="M564" s="73" t="n">
        <v>2691</v>
      </c>
      <c r="N564" s="73" t="n">
        <v>0</v>
      </c>
      <c r="O564" s="72" t="inlineStr">
        <is>
          <t>Image_Carrousel</t>
        </is>
      </c>
    </row>
    <row r="565" ht="13.5" customHeight="1" s="109">
      <c r="A565" s="35" t="inlineStr">
        <is>
          <t>https://www.instagram.com/p/DUlJIcfDNQh/</t>
        </is>
      </c>
      <c r="B565" s="35" t="inlineStr">
        <is>
          <t>Societe &amp; Droits</t>
        </is>
      </c>
      <c r="C565" s="35" t="inlineStr">
        <is>
          <t>Faits de societe</t>
        </is>
      </c>
      <c r="D565" s="36" t="n">
        <v>40</v>
      </c>
      <c r="E565" s="36" t="inlineStr">
        <is>
          <t>G</t>
        </is>
      </c>
      <c r="F565" s="35" t="inlineStr">
        <is>
          <t>Questionne stéréotypes et statut des belles-mères, sujet social.</t>
        </is>
      </c>
      <c r="G565" s="36" t="inlineStr">
        <is>
          <t>Non</t>
        </is>
      </c>
      <c r="H565" s="35" t="n"/>
      <c r="I565" s="36" t="n">
        <v>0</v>
      </c>
      <c r="J565" s="36" t="n">
        <v>5</v>
      </c>
      <c r="K565" s="74">
        <f>IFERROR(I565/J565,0)</f>
        <v/>
      </c>
      <c r="L565" s="36" t="n">
        <v>28</v>
      </c>
      <c r="M565" s="36" t="n">
        <v>1965</v>
      </c>
      <c r="N565" s="36" t="n">
        <v>0</v>
      </c>
      <c r="O565" s="35" t="inlineStr">
        <is>
          <t>Image_Carrousel</t>
        </is>
      </c>
    </row>
    <row r="566" ht="13.5" customHeight="1" s="109">
      <c r="A566" s="72" t="inlineStr">
        <is>
          <t>https://www.instagram.com/p/DUoHxxeDzP5/</t>
        </is>
      </c>
      <c r="B566" s="72" t="inlineStr">
        <is>
          <t>Environnement &amp; Nature</t>
        </is>
      </c>
      <c r="C566" s="72" t="inlineStr">
        <is>
          <t>Climat / Ecologie</t>
        </is>
      </c>
      <c r="D566" s="73" t="n">
        <v>50</v>
      </c>
      <c r="E566" s="73" t="inlineStr">
        <is>
          <t>N</t>
        </is>
      </c>
      <c r="F566" s="72" t="inlineStr">
        <is>
          <t>Média de service public et agence de presse, information factuelle, neutre et objective.</t>
        </is>
      </c>
      <c r="G566" s="73" t="inlineStr">
        <is>
          <t>Non</t>
        </is>
      </c>
      <c r="H566" s="72" t="n"/>
      <c r="I566" s="73" t="n">
        <v>0</v>
      </c>
      <c r="J566" s="73" t="n">
        <v>0</v>
      </c>
      <c r="K566" s="74">
        <f>IFERROR(I566/J566,0)</f>
        <v/>
      </c>
      <c r="L566" s="73" t="n">
        <v>0</v>
      </c>
      <c r="M566" s="73" t="n">
        <v>3409</v>
      </c>
      <c r="N566" s="73" t="n">
        <v>0</v>
      </c>
      <c r="O566" s="72" t="inlineStr">
        <is>
          <t>Image_Carrousel</t>
        </is>
      </c>
    </row>
    <row r="567" ht="13.5" customHeight="1" s="109">
      <c r="A567" s="35" t="inlineStr">
        <is>
          <t>https://www.instagram.com/p/DUk52q2jQgK/</t>
        </is>
      </c>
      <c r="B567" s="35" t="inlineStr">
        <is>
          <t>Societe &amp; Droits</t>
        </is>
      </c>
      <c r="C567" s="35" t="inlineStr">
        <is>
          <t>Faits de societe</t>
        </is>
      </c>
      <c r="D567" s="36" t="n">
        <v>40</v>
      </c>
      <c r="E567" s="36" t="inlineStr">
        <is>
          <t>N</t>
        </is>
      </c>
      <c r="F567" s="35" t="inlineStr">
        <is>
          <t>RTS service public, rapport factuel sur l'adoption de l'IA et ses enjeux.</t>
        </is>
      </c>
      <c r="G567" s="36" t="inlineStr">
        <is>
          <t>Non</t>
        </is>
      </c>
      <c r="H567" s="35" t="n"/>
      <c r="I567" s="36" t="n">
        <v>0</v>
      </c>
      <c r="J567" s="36" t="n">
        <v>4</v>
      </c>
      <c r="K567" s="74">
        <f>IFERROR(I567/J567,0)</f>
        <v/>
      </c>
      <c r="L567" s="36" t="n">
        <v>27</v>
      </c>
      <c r="M567" s="36" t="n">
        <v>871</v>
      </c>
      <c r="N567" s="36" t="n">
        <v>0</v>
      </c>
      <c r="O567" s="35" t="inlineStr">
        <is>
          <t>Image_Carrousel</t>
        </is>
      </c>
    </row>
    <row r="568" ht="13.5" customHeight="1" s="109">
      <c r="A568" s="72" t="inlineStr">
        <is>
          <t>https://www.instagram.com/p/DUmug6nD4f1/</t>
        </is>
      </c>
      <c r="B568" s="72" t="inlineStr">
        <is>
          <t>International</t>
        </is>
      </c>
      <c r="C568" s="72" t="inlineStr">
        <is>
          <t>Geopolitique</t>
        </is>
      </c>
      <c r="D568" s="73" t="n">
        <v>45</v>
      </c>
      <c r="E568" s="73" t="inlineStr">
        <is>
          <t>N</t>
        </is>
      </c>
      <c r="F568" s="72" t="inlineStr">
        <is>
          <t>RTS informe factuellement sur une mesure politique internationale, mentionnant son origine et ses implications.</t>
        </is>
      </c>
      <c r="G568" s="73" t="inlineStr">
        <is>
          <t>Non</t>
        </is>
      </c>
      <c r="H568" s="72" t="n"/>
      <c r="I568" s="73" t="n">
        <v>0</v>
      </c>
      <c r="J568" s="73" t="n">
        <v>9</v>
      </c>
      <c r="K568" s="74">
        <f>IFERROR(I568/J568,0)</f>
        <v/>
      </c>
      <c r="L568" s="73" t="n">
        <v>354</v>
      </c>
      <c r="M568" s="73" t="n">
        <v>4592</v>
      </c>
      <c r="N568" s="73" t="n">
        <v>0</v>
      </c>
      <c r="O568" s="72" t="inlineStr">
        <is>
          <t>Image_Carrousel</t>
        </is>
      </c>
    </row>
    <row r="569" ht="13.5" customHeight="1" s="109">
      <c r="A569" s="35" t="inlineStr">
        <is>
          <t>https://www.instagram.com/p/DUm1YhhAIUk/</t>
        </is>
      </c>
      <c r="B569" s="35" t="inlineStr">
        <is>
          <t>Securite &amp; Justice</t>
        </is>
      </c>
      <c r="C569" s="35" t="inlineStr">
        <is>
          <t>Justice</t>
        </is>
      </c>
      <c r="D569" s="36" t="n">
        <v>45</v>
      </c>
      <c r="E569" s="36" t="inlineStr">
        <is>
          <t>N</t>
        </is>
      </c>
      <c r="F569" s="35" t="inlineStr">
        <is>
          <t>RTSinfo est un média public, rapportant les faits de manière neutre et objective.</t>
        </is>
      </c>
      <c r="G569" s="36" t="inlineStr">
        <is>
          <t>Non</t>
        </is>
      </c>
      <c r="H569" s="35" t="inlineStr">
        <is>
          <t>Aucun commentaire ne critique le média ou sa couverture.</t>
        </is>
      </c>
      <c r="I569" s="36" t="n">
        <v>0</v>
      </c>
      <c r="J569" s="36" t="n">
        <v>5</v>
      </c>
      <c r="K569" s="74">
        <f>IFERROR(I569/J569,0)</f>
        <v/>
      </c>
      <c r="L569" s="36" t="n">
        <v>82</v>
      </c>
      <c r="M569" s="36" t="n">
        <v>2454</v>
      </c>
      <c r="N569" s="36" t="n">
        <v>0</v>
      </c>
      <c r="O569" s="35" t="inlineStr">
        <is>
          <t>Image_Carrousel</t>
        </is>
      </c>
    </row>
    <row r="570" ht="13.5" customHeight="1" s="109">
      <c r="A570" s="72" t="inlineStr">
        <is>
          <t>https://www.instagram.com/p/DUkQswNilM8/</t>
        </is>
      </c>
      <c r="B570" s="72" t="inlineStr">
        <is>
          <t>Economie &amp; Travail</t>
        </is>
      </c>
      <c r="C570" s="72" t="inlineStr">
        <is>
          <t>Agriculture</t>
        </is>
      </c>
      <c r="D570" s="73" t="n">
        <v>45</v>
      </c>
      <c r="E570" s="73" t="inlineStr">
        <is>
          <t>N</t>
        </is>
      </c>
      <c r="F570" s="72" t="inlineStr">
        <is>
          <t>RTSinfo adopte un ton factuel, explorant les causes sociales et les solutions d'aide.</t>
        </is>
      </c>
      <c r="G570" s="73" t="inlineStr">
        <is>
          <t>Oui</t>
        </is>
      </c>
      <c r="H570" s="72" t="inlineStr">
        <is>
          <t>Le média serait trop accusateur au lieu d'aider le fermier.</t>
        </is>
      </c>
      <c r="I570" s="73" t="n">
        <v>1</v>
      </c>
      <c r="J570" s="73" t="n">
        <v>6</v>
      </c>
      <c r="K570" s="74">
        <f>IFERROR(I570/J570,0)</f>
        <v/>
      </c>
      <c r="L570" s="73" t="n">
        <v>174</v>
      </c>
      <c r="M570" s="73" t="n">
        <v>4869</v>
      </c>
      <c r="N570" s="73" t="n">
        <v>94418</v>
      </c>
      <c r="O570" s="72" t="inlineStr">
        <is>
          <t>Video</t>
        </is>
      </c>
    </row>
    <row r="571" ht="13.5" customHeight="1" s="109">
      <c r="A571" s="35" t="inlineStr">
        <is>
          <t>https://www.instagram.com/p/DUlhrMmDjVR/</t>
        </is>
      </c>
      <c r="B571" s="35" t="inlineStr">
        <is>
          <t>International</t>
        </is>
      </c>
      <c r="C571" s="35" t="inlineStr">
        <is>
          <t>Geopolitique</t>
        </is>
      </c>
      <c r="D571" s="36" t="n">
        <v>40</v>
      </c>
      <c r="E571" s="36" t="inlineStr">
        <is>
          <t>G</t>
        </is>
      </c>
      <c r="F571" s="35" t="inlineStr">
        <is>
          <t>Dénonce la répression d'un régime autoritaire et ses violations des droits humains.</t>
        </is>
      </c>
      <c r="G571" s="36" t="inlineStr">
        <is>
          <t>Oui</t>
        </is>
      </c>
      <c r="H571" s="35" t="inlineStr">
        <is>
          <t>Accusations de désinformation et explications jugées insuffisantes.</t>
        </is>
      </c>
      <c r="I571" s="36" t="n">
        <v>2</v>
      </c>
      <c r="J571" s="36" t="n">
        <v>6</v>
      </c>
      <c r="K571" s="74">
        <f>IFERROR(I571/J571,0)</f>
        <v/>
      </c>
      <c r="L571" s="36" t="n">
        <v>86</v>
      </c>
      <c r="M571" s="36" t="n">
        <v>629</v>
      </c>
      <c r="N571" s="36" t="n">
        <v>12878</v>
      </c>
      <c r="O571" s="35" t="inlineStr">
        <is>
          <t>Video</t>
        </is>
      </c>
    </row>
    <row r="572" ht="13.5" customHeight="1" s="109">
      <c r="A572" s="72" t="inlineStr">
        <is>
          <t>https://www.instagram.com/p/DUky6QQDI5-/</t>
        </is>
      </c>
      <c r="B572" s="72" t="inlineStr">
        <is>
          <t>Societe &amp; Droits</t>
        </is>
      </c>
      <c r="C572" s="72" t="inlineStr">
        <is>
          <t>Faits de societe</t>
        </is>
      </c>
      <c r="D572" s="73" t="n">
        <v>45</v>
      </c>
      <c r="E572" s="73" t="inlineStr">
        <is>
          <t>N</t>
        </is>
      </c>
      <c r="F572" s="72" t="inlineStr">
        <is>
          <t>Média de service public, met l'accent sur la protection des enfants.</t>
        </is>
      </c>
      <c r="G572" s="73" t="inlineStr">
        <is>
          <t>Oui</t>
        </is>
      </c>
      <c r="H572" s="72" t="inlineStr">
        <is>
          <t>Remet en question le focus sur l'IA plutôt que sur les abuseurs.</t>
        </is>
      </c>
      <c r="I572" s="73" t="n">
        <v>1</v>
      </c>
      <c r="J572" s="73" t="n">
        <v>8</v>
      </c>
      <c r="K572" s="74">
        <f>IFERROR(I572/J572,0)</f>
        <v/>
      </c>
      <c r="L572" s="73" t="n">
        <v>30</v>
      </c>
      <c r="M572" s="73" t="n">
        <v>2088</v>
      </c>
      <c r="N572" s="73" t="n">
        <v>0</v>
      </c>
      <c r="O572" s="72" t="inlineStr">
        <is>
          <t>Image_Carrousel</t>
        </is>
      </c>
    </row>
    <row r="573" ht="13.5" customHeight="1" s="109">
      <c r="A573" s="35" t="inlineStr">
        <is>
          <t>https://www.instagram.com/p/DUiVGC8jwaO/</t>
        </is>
      </c>
      <c r="B573" s="35" t="inlineStr">
        <is>
          <t>Politique &amp; Institutions</t>
        </is>
      </c>
      <c r="C573" s="35" t="inlineStr">
        <is>
          <t>Autorites</t>
        </is>
      </c>
      <c r="D573" s="36" t="n">
        <v>50</v>
      </c>
      <c r="E573" s="36" t="inlineStr">
        <is>
          <t>N</t>
        </is>
      </c>
      <c r="F573" s="35" t="inlineStr">
        <is>
          <t>Média de service public, vise la neutralité et l'information équilibrée.</t>
        </is>
      </c>
      <c r="G573" s="36" t="inlineStr">
        <is>
          <t>Non</t>
        </is>
      </c>
      <c r="H573" s="35" t="n"/>
      <c r="I573" s="36" t="n">
        <v>0</v>
      </c>
      <c r="J573" s="36" t="n">
        <v>5</v>
      </c>
      <c r="K573" s="74">
        <f>IFERROR(I573/J573,0)</f>
        <v/>
      </c>
      <c r="L573" s="36" t="n">
        <v>92</v>
      </c>
      <c r="M573" s="36" t="n">
        <v>2675</v>
      </c>
      <c r="N573" s="36" t="n">
        <v>93515</v>
      </c>
      <c r="O573" s="35" t="inlineStr">
        <is>
          <t>Video</t>
        </is>
      </c>
    </row>
    <row r="574" ht="13.5" customHeight="1" s="109">
      <c r="A574" s="72" t="inlineStr">
        <is>
          <t>https://www.instagram.com/p/DUiD0qSDudn/</t>
        </is>
      </c>
      <c r="B574" s="72" t="inlineStr">
        <is>
          <t>Culture &amp; Loisirs</t>
        </is>
      </c>
      <c r="C574" s="72" t="inlineStr">
        <is>
          <t>Arts</t>
        </is>
      </c>
      <c r="D574" s="73" t="n">
        <v>40</v>
      </c>
      <c r="E574" s="73" t="inlineStr">
        <is>
          <t>N</t>
        </is>
      </c>
      <c r="F574" s="72" t="inlineStr">
        <is>
          <t>Média public, vise neutralité, perçu centriste. Contenu factuel et descriptif.</t>
        </is>
      </c>
      <c r="G574" s="73" t="inlineStr">
        <is>
          <t>Oui</t>
        </is>
      </c>
      <c r="H574" s="72" t="inlineStr">
        <is>
          <t>Un commentaire questionne la profondeur et l'exactitude de l'information.</t>
        </is>
      </c>
      <c r="I574" s="73" t="n">
        <v>1</v>
      </c>
      <c r="J574" s="73" t="n">
        <v>7</v>
      </c>
      <c r="K574" s="74">
        <f>IFERROR(I574/J574,0)</f>
        <v/>
      </c>
      <c r="L574" s="73" t="n">
        <v>7</v>
      </c>
      <c r="M574" s="73" t="n">
        <v>1300</v>
      </c>
      <c r="N574" s="73" t="n">
        <v>22658</v>
      </c>
      <c r="O574" s="72" t="inlineStr">
        <is>
          <t>Video</t>
        </is>
      </c>
    </row>
    <row r="575" ht="13.5" customHeight="1" s="109">
      <c r="A575" s="35" t="inlineStr">
        <is>
          <t>https://www.instagram.com/p/DUjFCzXDI1A/</t>
        </is>
      </c>
      <c r="B575" s="35" t="inlineStr">
        <is>
          <t>Sante</t>
        </is>
      </c>
      <c r="C575" s="35" t="inlineStr">
        <is>
          <t>Sante publique</t>
        </is>
      </c>
      <c r="D575" s="36" t="n">
        <v>50</v>
      </c>
      <c r="E575" s="36" t="inlineStr">
        <is>
          <t>N</t>
        </is>
      </c>
      <c r="F575" s="35" t="inlineStr">
        <is>
          <t>Média de service public, couverture équilibrée d'une initiative sociale et économique.</t>
        </is>
      </c>
      <c r="G575" s="36" t="inlineStr">
        <is>
          <t>Non</t>
        </is>
      </c>
      <c r="H575" s="35" t="n"/>
      <c r="I575" s="36" t="n">
        <v>0</v>
      </c>
      <c r="J575" s="36" t="n">
        <v>7</v>
      </c>
      <c r="K575" s="74">
        <f>IFERROR(I575/J575,0)</f>
        <v/>
      </c>
      <c r="L575" s="36" t="n">
        <v>24</v>
      </c>
      <c r="M575" s="36" t="n">
        <v>3681</v>
      </c>
      <c r="N575" s="36" t="n">
        <v>0</v>
      </c>
      <c r="O575" s="35" t="inlineStr">
        <is>
          <t>Image_Carrousel</t>
        </is>
      </c>
    </row>
    <row r="576" ht="13.5" customHeight="1" s="109">
      <c r="A576" s="72" t="inlineStr">
        <is>
          <t>https://www.instagram.com/p/DUjMZBlgmSM/</t>
        </is>
      </c>
      <c r="B576" s="72" t="inlineStr">
        <is>
          <t>Culture &amp; Loisirs</t>
        </is>
      </c>
      <c r="C576" s="72" t="inlineStr">
        <is>
          <t>Sport</t>
        </is>
      </c>
      <c r="D576" s="73" t="n">
        <v>50</v>
      </c>
      <c r="E576" s="73" t="inlineStr">
        <is>
          <t>N</t>
        </is>
      </c>
      <c r="F576" s="72" t="inlineStr">
        <is>
          <t>Reportage factuel et neutre sur une performance sportive olympique.</t>
        </is>
      </c>
      <c r="G576" s="73" t="inlineStr">
        <is>
          <t>Non</t>
        </is>
      </c>
      <c r="H576" s="72" t="n"/>
      <c r="I576" s="73" t="n">
        <v>0</v>
      </c>
      <c r="J576" s="73" t="n">
        <v>10</v>
      </c>
      <c r="K576" s="74">
        <f>IFERROR(I576/J576,0)</f>
        <v/>
      </c>
      <c r="L576" s="73" t="n">
        <v>32</v>
      </c>
      <c r="M576" s="73" t="n">
        <v>5252</v>
      </c>
      <c r="N576" s="73" t="n">
        <v>0</v>
      </c>
      <c r="O576" s="72" t="inlineStr">
        <is>
          <t>Image_Carrousel</t>
        </is>
      </c>
    </row>
    <row r="577" ht="13.5" customHeight="1" s="109">
      <c r="A577" s="35" t="inlineStr">
        <is>
          <t>https://www.instagram.com/p/DUiihdyAmz7/</t>
        </is>
      </c>
      <c r="B577" s="35" t="inlineStr">
        <is>
          <t>Culture &amp; Loisirs</t>
        </is>
      </c>
      <c r="C577" s="35" t="inlineStr">
        <is>
          <t>Sport</t>
        </is>
      </c>
      <c r="D577" s="36" t="n">
        <v>55</v>
      </c>
      <c r="E577" s="36" t="inlineStr">
        <is>
          <t>N</t>
        </is>
      </c>
      <c r="F577" s="35" t="inlineStr">
        <is>
          <t>Reportage sportif factuel célébrant la réussite nationale sans angle politique marqué.</t>
        </is>
      </c>
      <c r="G577" s="36" t="inlineStr">
        <is>
          <t>Non</t>
        </is>
      </c>
      <c r="H577" s="35" t="n"/>
      <c r="I577" s="36" t="n">
        <v>0</v>
      </c>
      <c r="J577" s="36" t="n">
        <v>11</v>
      </c>
      <c r="K577" s="74">
        <f>IFERROR(I577/J577,0)</f>
        <v/>
      </c>
      <c r="L577" s="36" t="n">
        <v>44</v>
      </c>
      <c r="M577" s="36" t="n">
        <v>10191</v>
      </c>
      <c r="N577" s="36" t="n">
        <v>0</v>
      </c>
      <c r="O577" s="35" t="inlineStr">
        <is>
          <t>Image_Carrousel</t>
        </is>
      </c>
    </row>
    <row r="578" ht="13.5" customHeight="1" s="109">
      <c r="A578" s="72" t="inlineStr">
        <is>
          <t>https://www.instagram.com/p/DUi3dBHCNcF/</t>
        </is>
      </c>
      <c r="B578" s="72" t="inlineStr">
        <is>
          <t>Sante</t>
        </is>
      </c>
      <c r="C578" s="72" t="inlineStr">
        <is>
          <t>Sante publique</t>
        </is>
      </c>
      <c r="D578" s="73" t="n">
        <v>50</v>
      </c>
      <c r="E578" s="73" t="inlineStr">
        <is>
          <t>N</t>
        </is>
      </c>
      <c r="F578" s="72" t="inlineStr">
        <is>
          <t>Média de service public, ton informatif et neutre sur un enjeu de santé.</t>
        </is>
      </c>
      <c r="G578" s="73" t="inlineStr">
        <is>
          <t>Non</t>
        </is>
      </c>
      <c r="H578" s="72" t="n"/>
      <c r="I578" s="73" t="n">
        <v>0</v>
      </c>
      <c r="J578" s="73" t="n">
        <v>3</v>
      </c>
      <c r="K578" s="74">
        <f>IFERROR(I578/J578,0)</f>
        <v/>
      </c>
      <c r="L578" s="73" t="n">
        <v>28</v>
      </c>
      <c r="M578" s="73" t="n">
        <v>1752</v>
      </c>
      <c r="N578" s="73" t="n">
        <v>38954</v>
      </c>
      <c r="O578" s="72" t="inlineStr">
        <is>
          <t>Video</t>
        </is>
      </c>
    </row>
    <row r="579" ht="13.5" customHeight="1" s="109">
      <c r="A579" s="35" t="inlineStr">
        <is>
          <t>https://www.instagram.com/p/DUibaGSAiXA/</t>
        </is>
      </c>
      <c r="B579" s="35" t="inlineStr">
        <is>
          <t>Culture &amp; Loisirs</t>
        </is>
      </c>
      <c r="C579" s="35" t="inlineStr">
        <is>
          <t>Sport</t>
        </is>
      </c>
      <c r="D579" s="36" t="n">
        <v>50</v>
      </c>
      <c r="E579" s="36" t="inlineStr">
        <is>
          <t>N</t>
        </is>
      </c>
      <c r="F579" s="35" t="inlineStr">
        <is>
          <t>Reportage factuel et célébratoire d'une performance sportive majeure et de la fierté nationale.</t>
        </is>
      </c>
      <c r="G579" s="36" t="inlineStr">
        <is>
          <t>Non</t>
        </is>
      </c>
      <c r="H579" s="35" t="inlineStr">
        <is>
          <t>Aucune critique du média dans les commentaires fournis.</t>
        </is>
      </c>
      <c r="I579" s="36" t="n">
        <v>0</v>
      </c>
      <c r="J579" s="36" t="n">
        <v>14</v>
      </c>
      <c r="K579" s="74">
        <f>IFERROR(I579/J579,0)</f>
        <v/>
      </c>
      <c r="L579" s="36" t="n">
        <v>129</v>
      </c>
      <c r="M579" s="36" t="n">
        <v>22606</v>
      </c>
      <c r="N579" s="36" t="n">
        <v>0</v>
      </c>
      <c r="O579" s="35" t="inlineStr">
        <is>
          <t>Image_Carrousel</t>
        </is>
      </c>
    </row>
    <row r="580" ht="13.5" customHeight="1" s="109">
      <c r="A580" s="72" t="inlineStr">
        <is>
          <t>https://www.instagram.com/p/DUtbEGnD5Lv/</t>
        </is>
      </c>
      <c r="B580" s="72" t="inlineStr">
        <is>
          <t>Securite &amp; Justice</t>
        </is>
      </c>
      <c r="C580" s="72" t="inlineStr">
        <is>
          <t>Ordre public</t>
        </is>
      </c>
      <c r="D580" s="73" t="n">
        <v>40</v>
      </c>
      <c r="E580" s="73" t="inlineStr">
        <is>
          <t>N</t>
        </is>
      </c>
      <c r="F580" s="72" t="inlineStr">
        <is>
          <t>Service public, ton factuel, utilisation d'écriture inclusive. Signé RTSinfo/ATS.</t>
        </is>
      </c>
      <c r="G580" s="73" t="inlineStr">
        <is>
          <t>Oui</t>
        </is>
      </c>
      <c r="H580" s="72" t="inlineStr">
        <is>
          <t>Biais perçu dans choix sujets et écriture inclusive critiquée.</t>
        </is>
      </c>
      <c r="I580" s="73" t="n">
        <v>2</v>
      </c>
      <c r="J580" s="73" t="n">
        <v>8</v>
      </c>
      <c r="K580" s="74">
        <f>IFERROR(I580/J580,0)</f>
        <v/>
      </c>
      <c r="L580" s="73" t="n">
        <v>23</v>
      </c>
      <c r="M580" s="73" t="n">
        <v>6026</v>
      </c>
      <c r="N580" s="73" t="n">
        <v>0</v>
      </c>
      <c r="O580" s="72" t="inlineStr">
        <is>
          <t>Image_Carrousel</t>
        </is>
      </c>
    </row>
    <row r="581" ht="13.5" customHeight="1" s="109">
      <c r="A581" s="35" t="inlineStr">
        <is>
          <t>https://www.instagram.com/p/DUib2DfjFca/</t>
        </is>
      </c>
      <c r="B581" s="35" t="inlineStr">
        <is>
          <t>International</t>
        </is>
      </c>
      <c r="C581" s="35" t="inlineStr">
        <is>
          <t>Conflits</t>
        </is>
      </c>
      <c r="D581" s="36" t="n">
        <v>25</v>
      </c>
      <c r="E581" s="36" t="inlineStr">
        <is>
          <t>G</t>
        </is>
      </c>
      <c r="F581" s="35" t="inlineStr">
        <is>
          <t>Mise en avant du discours pro-palestinien et des activistes, sans contrepoids équivalent.</t>
        </is>
      </c>
      <c r="G581" s="36" t="inlineStr">
        <is>
          <t>Oui</t>
        </is>
      </c>
      <c r="H581" s="35" t="inlineStr">
        <is>
          <t>Le média est accusé de biaiser pour la 'réthorique gauchiste'.</t>
        </is>
      </c>
      <c r="I581" s="36" t="n">
        <v>1</v>
      </c>
      <c r="J581" s="36" t="n">
        <v>7</v>
      </c>
      <c r="K581" s="74">
        <f>IFERROR(I581/J581,0)</f>
        <v/>
      </c>
      <c r="L581" s="36" t="n">
        <v>259</v>
      </c>
      <c r="M581" s="36" t="n">
        <v>6465</v>
      </c>
      <c r="N581" s="36" t="n">
        <v>0</v>
      </c>
      <c r="O581" s="35" t="inlineStr">
        <is>
          <t>Image_Carrousel</t>
        </is>
      </c>
    </row>
    <row r="582" ht="13.5" customHeight="1" s="109">
      <c r="A582" s="72" t="inlineStr">
        <is>
          <t>https://www.instagram.com/p/DUp8gioD5b7/</t>
        </is>
      </c>
      <c r="B582" s="72" t="inlineStr">
        <is>
          <t>Environnement &amp; Nature</t>
        </is>
      </c>
      <c r="C582" s="72" t="inlineStr">
        <is>
          <t>Climat / Ecologie</t>
        </is>
      </c>
      <c r="D582" s="73" t="n">
        <v>40</v>
      </c>
      <c r="E582" s="73" t="inlineStr">
        <is>
          <t>G</t>
        </is>
      </c>
      <c r="F582" s="72" t="inlineStr">
        <is>
          <t>RTS, service public, généralement perçu comme légèrement progressiste ou neutre.</t>
        </is>
      </c>
      <c r="G582" s="73" t="inlineStr">
        <is>
          <t>Non</t>
        </is>
      </c>
      <c r="H582" s="72" t="n"/>
      <c r="I582" s="73" t="n">
        <v>0</v>
      </c>
      <c r="J582" s="73" t="n">
        <v>6</v>
      </c>
      <c r="K582" s="74">
        <f>IFERROR(I582/J582,0)</f>
        <v/>
      </c>
      <c r="L582" s="73" t="n">
        <v>7</v>
      </c>
      <c r="M582" s="73" t="n">
        <v>2890</v>
      </c>
      <c r="N582" s="73" t="n">
        <v>0</v>
      </c>
      <c r="O582" s="72" t="inlineStr">
        <is>
          <t>Image_Carrousel</t>
        </is>
      </c>
    </row>
    <row r="583" ht="13.5" customHeight="1" s="109">
      <c r="A583" s="35" t="inlineStr">
        <is>
          <t>https://www.instagram.com/p/DUi-NfxgZ0W/</t>
        </is>
      </c>
      <c r="B583" s="35" t="inlineStr">
        <is>
          <t>Societe &amp; Droits</t>
        </is>
      </c>
      <c r="C583" s="35" t="inlineStr">
        <is>
          <t>Faits de societe</t>
        </is>
      </c>
      <c r="D583" s="36" t="n">
        <v>45</v>
      </c>
      <c r="E583" s="36" t="inlineStr">
        <is>
          <t>N</t>
        </is>
      </c>
      <c r="F583" s="35" t="inlineStr">
        <is>
          <t>Rapport factuel sur répression iranienne et droits humains.</t>
        </is>
      </c>
      <c r="G583" s="36" t="inlineStr">
        <is>
          <t>Oui</t>
        </is>
      </c>
      <c r="H583" s="35" t="inlineStr">
        <is>
          <t>Biais (selection figures, minimisation faits), agenda perçu pro-gauche.</t>
        </is>
      </c>
      <c r="I583" s="36" t="n">
        <v>2</v>
      </c>
      <c r="J583" s="36" t="n">
        <v>8</v>
      </c>
      <c r="K583" s="74">
        <f>IFERROR(I583/J583,0)</f>
        <v/>
      </c>
      <c r="L583" s="36" t="n">
        <v>81</v>
      </c>
      <c r="M583" s="36" t="n">
        <v>1297</v>
      </c>
      <c r="N583" s="36" t="n">
        <v>0</v>
      </c>
      <c r="O583" s="35" t="inlineStr">
        <is>
          <t>Image_Carrousel</t>
        </is>
      </c>
    </row>
    <row r="584" ht="13.5" customHeight="1" s="109">
      <c r="A584" s="72" t="inlineStr">
        <is>
          <t>https://www.instagram.com/p/DUf96ghgs5p/</t>
        </is>
      </c>
      <c r="B584" s="72" t="inlineStr">
        <is>
          <t>Culture &amp; Loisirs</t>
        </is>
      </c>
      <c r="C584" s="72" t="inlineStr">
        <is>
          <t>Sport</t>
        </is>
      </c>
      <c r="D584" s="73" t="n">
        <v>50</v>
      </c>
      <c r="E584" s="73" t="inlineStr">
        <is>
          <t>N</t>
        </is>
      </c>
      <c r="F584" s="72" t="inlineStr">
        <is>
          <t>Reportage sportif factuel, valorisant la performance et l'identité nationale.</t>
        </is>
      </c>
      <c r="G584" s="73" t="inlineStr">
        <is>
          <t>Oui</t>
        </is>
      </c>
      <c r="H584" s="72" t="inlineStr">
        <is>
          <t>Correction orthographique d'un nom propre (Umlaut).</t>
        </is>
      </c>
      <c r="I584" s="73" t="n">
        <v>2</v>
      </c>
      <c r="J584" s="73" t="n">
        <v>10</v>
      </c>
      <c r="K584" s="74">
        <f>IFERROR(I584/J584,0)</f>
        <v/>
      </c>
      <c r="L584" s="73" t="n">
        <v>20</v>
      </c>
      <c r="M584" s="73" t="n">
        <v>9759</v>
      </c>
      <c r="N584" s="73" t="n">
        <v>0</v>
      </c>
      <c r="O584" s="72" t="inlineStr">
        <is>
          <t>Image_Carrousel</t>
        </is>
      </c>
    </row>
    <row r="585" ht="13.5" customHeight="1" s="109">
      <c r="A585" s="35" t="inlineStr">
        <is>
          <t>https://www.instagram.com/p/DUkXcX9D3AY/</t>
        </is>
      </c>
      <c r="B585" s="35" t="inlineStr">
        <is>
          <t>Sante</t>
        </is>
      </c>
      <c r="C585" s="35" t="inlineStr">
        <is>
          <t>Sante publique</t>
        </is>
      </c>
      <c r="D585" s="36" t="n">
        <v>50</v>
      </c>
      <c r="E585" s="36" t="inlineStr">
        <is>
          <t>N</t>
        </is>
      </c>
      <c r="F585" s="35" t="inlineStr">
        <is>
          <t>Média de service public, vise l'impartialité et la neutralité dans son contenu.</t>
        </is>
      </c>
      <c r="G585" s="36" t="inlineStr">
        <is>
          <t>Non</t>
        </is>
      </c>
      <c r="H585" s="35" t="n"/>
      <c r="I585" s="36" t="n">
        <v>0</v>
      </c>
      <c r="J585" s="36" t="n">
        <v>6</v>
      </c>
      <c r="K585" s="74">
        <f>IFERROR(I585/J585,0)</f>
        <v/>
      </c>
      <c r="L585" s="36" t="n">
        <v>13</v>
      </c>
      <c r="M585" s="36" t="n">
        <v>2868</v>
      </c>
      <c r="N585" s="36" t="n">
        <v>0</v>
      </c>
      <c r="O585" s="35" t="inlineStr">
        <is>
          <t>Image_Carrousel</t>
        </is>
      </c>
    </row>
    <row r="586" ht="13.5" customHeight="1" s="109">
      <c r="A586" s="72" t="inlineStr">
        <is>
          <t>https://www.instagram.com/p/DUgFxjJgieo/</t>
        </is>
      </c>
      <c r="B586" s="72" t="inlineStr">
        <is>
          <t>Culture &amp; Loisirs</t>
        </is>
      </c>
      <c r="C586" s="72" t="inlineStr">
        <is>
          <t>Sport</t>
        </is>
      </c>
      <c r="D586" s="73" t="n">
        <v>50</v>
      </c>
      <c r="E586" s="73" t="inlineStr">
        <is>
          <t>N</t>
        </is>
      </c>
      <c r="F586" s="72" t="inlineStr">
        <is>
          <t>RTS est un média de service public, neutre sur le plan politique pour le sport.</t>
        </is>
      </c>
      <c r="G586" s="73" t="inlineStr">
        <is>
          <t>Oui</t>
        </is>
      </c>
      <c r="H586" s="72" t="inlineStr">
        <is>
          <t>Un commentaire mentionne des 'problèmes de son'.</t>
        </is>
      </c>
      <c r="I586" s="73" t="n">
        <v>1</v>
      </c>
      <c r="J586" s="73" t="n">
        <v>10</v>
      </c>
      <c r="K586" s="74">
        <f>IFERROR(I586/J586,0)</f>
        <v/>
      </c>
      <c r="L586" s="73" t="n">
        <v>17</v>
      </c>
      <c r="M586" s="73" t="n">
        <v>3966</v>
      </c>
      <c r="N586" s="73" t="n">
        <v>38898</v>
      </c>
      <c r="O586" s="72" t="inlineStr">
        <is>
          <t>Video</t>
        </is>
      </c>
    </row>
    <row r="587" ht="13.5" customHeight="1" s="109">
      <c r="A587" s="35" t="inlineStr">
        <is>
          <t>https://www.instagram.com/p/DUiwhiVjKGt/</t>
        </is>
      </c>
      <c r="B587" s="35" t="inlineStr">
        <is>
          <t>Politique &amp; Institutions</t>
        </is>
      </c>
      <c r="C587" s="35" t="inlineStr">
        <is>
          <t>Autorites</t>
        </is>
      </c>
      <c r="D587" s="36" t="n">
        <v>45</v>
      </c>
      <c r="E587" s="36" t="inlineStr">
        <is>
          <t>N</t>
        </is>
      </c>
      <c r="F587" s="35" t="inlineStr">
        <is>
          <t>RTS rapporte des faits et défis opérationnels liés à un nouveau système de contrôle.</t>
        </is>
      </c>
      <c r="G587" s="36" t="inlineStr">
        <is>
          <t>Non</t>
        </is>
      </c>
      <c r="H587" s="35" t="n"/>
      <c r="I587" s="36" t="n">
        <v>0</v>
      </c>
      <c r="J587" s="36" t="n">
        <v>7</v>
      </c>
      <c r="K587" s="74">
        <f>IFERROR(I587/J587,0)</f>
        <v/>
      </c>
      <c r="L587" s="36" t="n">
        <v>148</v>
      </c>
      <c r="M587" s="36" t="n">
        <v>15454</v>
      </c>
      <c r="N587" s="36" t="n">
        <v>585192</v>
      </c>
      <c r="O587" s="35" t="inlineStr">
        <is>
          <t>Video</t>
        </is>
      </c>
    </row>
    <row r="588" ht="13.5" customHeight="1" s="109">
      <c r="A588" s="72" t="inlineStr">
        <is>
          <t>https://www.instagram.com/p/DUkJuoJkQHq/</t>
        </is>
      </c>
      <c r="B588" s="72" t="inlineStr">
        <is>
          <t>Sante</t>
        </is>
      </c>
      <c r="C588" s="72" t="inlineStr">
        <is>
          <t>Sante publique</t>
        </is>
      </c>
      <c r="D588" s="73" t="n">
        <v>48</v>
      </c>
      <c r="E588" s="73" t="inlineStr">
        <is>
          <t>N</t>
        </is>
      </c>
      <c r="F588" s="72" t="inlineStr">
        <is>
          <t>RTS public, informatif sur innovation médicale et santé publique.</t>
        </is>
      </c>
      <c r="G588" s="73" t="inlineStr">
        <is>
          <t>Non</t>
        </is>
      </c>
      <c r="H588" s="72" t="n"/>
      <c r="I588" s="73" t="n">
        <v>0</v>
      </c>
      <c r="J588" s="73" t="n">
        <v>8</v>
      </c>
      <c r="K588" s="74">
        <f>IFERROR(I588/J588,0)</f>
        <v/>
      </c>
      <c r="L588" s="73" t="n">
        <v>86</v>
      </c>
      <c r="M588" s="73" t="n">
        <v>9480</v>
      </c>
      <c r="N588" s="73" t="n">
        <v>0</v>
      </c>
      <c r="O588" s="72" t="inlineStr">
        <is>
          <t>Image_Carrousel</t>
        </is>
      </c>
    </row>
    <row r="589" ht="13.5" customHeight="1" s="109">
      <c r="A589" s="35" t="inlineStr">
        <is>
          <t>https://www.instagram.com/p/DUgSqEckz4q/</t>
        </is>
      </c>
      <c r="B589" s="35" t="inlineStr">
        <is>
          <t>Securite &amp; Justice</t>
        </is>
      </c>
      <c r="C589" s="35" t="inlineStr">
        <is>
          <t>Activites de Police</t>
        </is>
      </c>
      <c r="D589" s="36" t="n">
        <v>50</v>
      </c>
      <c r="E589" s="36" t="inlineStr">
        <is>
          <t>N</t>
        </is>
      </c>
      <c r="F589" s="35" t="inlineStr">
        <is>
          <t>Média public, couverture neutre d'un service public essentiel.</t>
        </is>
      </c>
      <c r="G589" s="36" t="inlineStr">
        <is>
          <t>Non</t>
        </is>
      </c>
      <c r="H589" s="35" t="n"/>
      <c r="I589" s="36" t="n">
        <v>0</v>
      </c>
      <c r="J589" s="36" t="n">
        <v>8</v>
      </c>
      <c r="K589" s="74">
        <f>IFERROR(I589/J589,0)</f>
        <v/>
      </c>
      <c r="L589" s="36" t="n">
        <v>8</v>
      </c>
      <c r="M589" s="36" t="n">
        <v>3610</v>
      </c>
      <c r="N589" s="36" t="n">
        <v>54780</v>
      </c>
      <c r="O589" s="35" t="inlineStr">
        <is>
          <t>Video</t>
        </is>
      </c>
    </row>
    <row r="590" ht="13.5" customHeight="1" s="109">
      <c r="A590" s="72" t="inlineStr">
        <is>
          <t>https://www.instagram.com/p/DUfpYeSAbY9/</t>
        </is>
      </c>
      <c r="B590" s="72" t="inlineStr">
        <is>
          <t>Culture &amp; Loisirs</t>
        </is>
      </c>
      <c r="C590" s="72" t="inlineStr">
        <is>
          <t>Arts</t>
        </is>
      </c>
      <c r="D590" s="73" t="n">
        <v>45</v>
      </c>
      <c r="E590" s="73" t="inlineStr">
        <is>
          <t>N</t>
        </is>
      </c>
      <c r="F590" s="72" t="inlineStr">
        <is>
          <t>Média public suisse, souvent perçu comme centre-gauche, utilise l'écriture inclusive.</t>
        </is>
      </c>
      <c r="G590" s="73" t="inlineStr">
        <is>
          <t>Non</t>
        </is>
      </c>
      <c r="H590" s="72" t="n"/>
      <c r="I590" s="73" t="n">
        <v>0</v>
      </c>
      <c r="J590" s="73" t="n">
        <v>6</v>
      </c>
      <c r="K590" s="74">
        <f>IFERROR(I590/J590,0)</f>
        <v/>
      </c>
      <c r="L590" s="73" t="n">
        <v>6</v>
      </c>
      <c r="M590" s="73" t="n">
        <v>9254</v>
      </c>
      <c r="N590" s="73" t="n">
        <v>0</v>
      </c>
      <c r="O590" s="72" t="inlineStr">
        <is>
          <t>Image_Carrousel</t>
        </is>
      </c>
    </row>
    <row r="591" ht="13.5" customHeight="1" s="109">
      <c r="A591" s="35" t="inlineStr">
        <is>
          <t>https://www.instagram.com/p/DUdKPN7gr7_/</t>
        </is>
      </c>
      <c r="B591" s="35" t="inlineStr">
        <is>
          <t>Culture &amp; Loisirs</t>
        </is>
      </c>
      <c r="C591" s="35" t="inlineStr">
        <is>
          <t>Sport</t>
        </is>
      </c>
      <c r="D591" s="36" t="n">
        <v>50</v>
      </c>
      <c r="E591" s="36" t="inlineStr">
        <is>
          <t>N</t>
        </is>
      </c>
      <c r="F591" s="35" t="inlineStr">
        <is>
          <t>RTS, service public, couverture neutre et factuelle d'un événement sportif national.</t>
        </is>
      </c>
      <c r="G591" s="36" t="inlineStr">
        <is>
          <t>Non</t>
        </is>
      </c>
      <c r="H591" s="35" t="n"/>
      <c r="I591" s="36" t="n">
        <v>0</v>
      </c>
      <c r="J591" s="36" t="n">
        <v>10</v>
      </c>
      <c r="K591" s="74">
        <f>IFERROR(I591/J591,0)</f>
        <v/>
      </c>
      <c r="L591" s="36" t="n">
        <v>64</v>
      </c>
      <c r="M591" s="36" t="n">
        <v>11178</v>
      </c>
      <c r="N591" s="36" t="n">
        <v>0</v>
      </c>
      <c r="O591" s="35" t="inlineStr">
        <is>
          <t>Image_Carrousel</t>
        </is>
      </c>
    </row>
    <row r="592" ht="13.5" customHeight="1" s="109">
      <c r="A592" s="72" t="inlineStr">
        <is>
          <t>https://www.instagram.com/p/DUh2rPbj8u7/</t>
        </is>
      </c>
      <c r="B592" s="72" t="inlineStr">
        <is>
          <t>Culture &amp; Loisirs</t>
        </is>
      </c>
      <c r="C592" s="72" t="inlineStr">
        <is>
          <t>Arts</t>
        </is>
      </c>
      <c r="D592" s="73" t="n">
        <v>45</v>
      </c>
      <c r="E592" s="73" t="inlineStr">
        <is>
          <t>N</t>
        </is>
      </c>
      <c r="F592" s="72" t="inlineStr">
        <is>
          <t>RTS rapporte factuellement un événement culturel et ses répercussions sociales.</t>
        </is>
      </c>
      <c r="G592" s="73" t="inlineStr">
        <is>
          <t>Non</t>
        </is>
      </c>
      <c r="H592" s="72" t="n"/>
      <c r="I592" s="73" t="n">
        <v>0</v>
      </c>
      <c r="J592" s="73" t="n">
        <v>7</v>
      </c>
      <c r="K592" s="74">
        <f>IFERROR(I592/J592,0)</f>
        <v/>
      </c>
      <c r="L592" s="73" t="n">
        <v>246</v>
      </c>
      <c r="M592" s="73" t="n">
        <v>26578</v>
      </c>
      <c r="N592" s="73" t="n">
        <v>170603</v>
      </c>
      <c r="O592" s="72" t="inlineStr">
        <is>
          <t>Video</t>
        </is>
      </c>
    </row>
    <row r="593" ht="13.5" customHeight="1" s="109">
      <c r="A593" s="35" t="inlineStr">
        <is>
          <t>https://www.instagram.com/p/DUhrzLPEmsX/</t>
        </is>
      </c>
      <c r="B593" s="35" t="inlineStr">
        <is>
          <t>Societe &amp; Droits</t>
        </is>
      </c>
      <c r="C593" s="35" t="inlineStr">
        <is>
          <t>Faits de societe</t>
        </is>
      </c>
      <c r="D593" s="36" t="n">
        <v>45</v>
      </c>
      <c r="E593" s="36" t="inlineStr">
        <is>
          <t>N</t>
        </is>
      </c>
      <c r="F593" s="35" t="inlineStr">
        <is>
          <t>RTS, service public, rapport factuel sur un fait de société émergent.</t>
        </is>
      </c>
      <c r="G593" s="36" t="inlineStr">
        <is>
          <t>Non</t>
        </is>
      </c>
      <c r="H593" s="35" t="n"/>
      <c r="I593" s="36" t="n">
        <v>0</v>
      </c>
      <c r="J593" s="36" t="n">
        <v>5</v>
      </c>
      <c r="K593" s="74">
        <f>IFERROR(I593/J593,0)</f>
        <v/>
      </c>
      <c r="L593" s="36" t="n">
        <v>82</v>
      </c>
      <c r="M593" s="36" t="n">
        <v>2760</v>
      </c>
      <c r="N593" s="36" t="n">
        <v>0</v>
      </c>
      <c r="O593" s="35" t="inlineStr">
        <is>
          <t>Image_Carrousel</t>
        </is>
      </c>
    </row>
    <row r="594" ht="13.5" customHeight="1" s="109">
      <c r="A594" s="72" t="inlineStr">
        <is>
          <t>https://www.instagram.com/p/DUf3NDqD6m3/</t>
        </is>
      </c>
      <c r="B594" s="72" t="inlineStr">
        <is>
          <t>Societe &amp; Droits</t>
        </is>
      </c>
      <c r="C594" s="72" t="inlineStr">
        <is>
          <t>Immigration</t>
        </is>
      </c>
      <c r="D594" s="73" t="n">
        <v>25</v>
      </c>
      <c r="E594" s="73" t="inlineStr">
        <is>
          <t>G</t>
        </is>
      </c>
      <c r="F594" s="72" t="inlineStr">
        <is>
          <t>Met en lumière la vulnérabilité des immigrés face à l'ICE, ton empathique.</t>
        </is>
      </c>
      <c r="G594" s="73" t="inlineStr">
        <is>
          <t>Oui</t>
        </is>
      </c>
      <c r="H594" s="72" t="inlineStr">
        <is>
          <t>Accusation de promotion de la clandestinité.</t>
        </is>
      </c>
      <c r="I594" s="73" t="n">
        <v>1</v>
      </c>
      <c r="J594" s="73" t="n">
        <v>4</v>
      </c>
      <c r="K594" s="74">
        <f>IFERROR(I594/J594,0)</f>
        <v/>
      </c>
      <c r="L594" s="73" t="n">
        <v>165</v>
      </c>
      <c r="M594" s="73" t="n">
        <v>1946</v>
      </c>
      <c r="N594" s="73" t="n">
        <v>49425</v>
      </c>
      <c r="O594" s="72" t="inlineStr">
        <is>
          <t>Video</t>
        </is>
      </c>
    </row>
    <row r="595" ht="13.5" customHeight="1" s="109">
      <c r="A595" s="35" t="inlineStr">
        <is>
          <t>https://www.instagram.com/p/DUgMFdsj1qC/</t>
        </is>
      </c>
      <c r="B595" s="35" t="inlineStr">
        <is>
          <t>Environnement &amp; Nature</t>
        </is>
      </c>
      <c r="C595" s="35" t="inlineStr">
        <is>
          <t>Climat / Ecologie</t>
        </is>
      </c>
      <c r="D595" s="36" t="n">
        <v>40</v>
      </c>
      <c r="E595" s="36" t="inlineStr">
        <is>
          <t>G</t>
        </is>
      </c>
      <c r="F595" s="35" t="inlineStr">
        <is>
          <t>Questionne l'éthique des zoos, explore alternatives, et met en lumière le bien-être animal.</t>
        </is>
      </c>
      <c r="G595" s="36" t="inlineStr">
        <is>
          <t>Non</t>
        </is>
      </c>
      <c r="H595" s="35" t="n"/>
      <c r="I595" s="36" t="n">
        <v>0</v>
      </c>
      <c r="J595" s="36" t="n">
        <v>8</v>
      </c>
      <c r="K595" s="74">
        <f>IFERROR(I595/J595,0)</f>
        <v/>
      </c>
      <c r="L595" s="36" t="n">
        <v>28</v>
      </c>
      <c r="M595" s="36" t="n">
        <v>1185</v>
      </c>
      <c r="N595" s="36" t="n">
        <v>19506</v>
      </c>
      <c r="O595" s="35" t="inlineStr">
        <is>
          <t>Video</t>
        </is>
      </c>
    </row>
    <row r="596" ht="13.5" customHeight="1" s="109">
      <c r="A596" s="72" t="inlineStr">
        <is>
          <t>https://www.instagram.com/p/DUfwL8fDe_1/</t>
        </is>
      </c>
      <c r="B596" s="72" t="inlineStr">
        <is>
          <t>Economie &amp; Travail</t>
        </is>
      </c>
      <c r="C596" s="72" t="inlineStr">
        <is>
          <t>Consommation</t>
        </is>
      </c>
      <c r="D596" s="73" t="n">
        <v>50</v>
      </c>
      <c r="E596" s="73" t="inlineStr">
        <is>
          <t>N</t>
        </is>
      </c>
      <c r="F596" s="72" t="inlineStr">
        <is>
          <t>Média public suisse, informe factuellement sur un sujet de société.</t>
        </is>
      </c>
      <c r="G596" s="73" t="inlineStr">
        <is>
          <t>Non</t>
        </is>
      </c>
      <c r="H596" s="72" t="n"/>
      <c r="I596" s="73" t="n">
        <v>0</v>
      </c>
      <c r="J596" s="73" t="n">
        <v>9</v>
      </c>
      <c r="K596" s="74">
        <f>IFERROR(I596/J596,0)</f>
        <v/>
      </c>
      <c r="L596" s="73" t="n">
        <v>16</v>
      </c>
      <c r="M596" s="73" t="n">
        <v>1860</v>
      </c>
      <c r="N596" s="73" t="n">
        <v>0</v>
      </c>
      <c r="O596" s="72" t="inlineStr">
        <is>
          <t>Image_Carrousel</t>
        </is>
      </c>
    </row>
    <row r="597" ht="13.5" customHeight="1" s="109">
      <c r="A597" s="35" t="inlineStr">
        <is>
          <t>https://www.instagram.com/p/DUhk-mgCXqK/</t>
        </is>
      </c>
      <c r="B597" s="35" t="inlineStr">
        <is>
          <t>Economie &amp; Travail</t>
        </is>
      </c>
      <c r="C597" s="35" t="inlineStr">
        <is>
          <t>Marche du travail</t>
        </is>
      </c>
      <c r="D597" s="36" t="n">
        <v>40</v>
      </c>
      <c r="E597" s="36" t="inlineStr">
        <is>
          <t>N</t>
        </is>
      </c>
      <c r="F597" s="35" t="inlineStr">
        <is>
          <t>Média public suisse, aborde la gestion des erreurs au travail, favorisant communication et bien-être.</t>
        </is>
      </c>
      <c r="G597" s="36" t="inlineStr">
        <is>
          <t>Oui</t>
        </is>
      </c>
      <c r="H597" s="35" t="inlineStr">
        <is>
          <t>Conseils jugés évidents ou naïfs; critique de l'approche individuelle.</t>
        </is>
      </c>
      <c r="I597" s="36" t="n">
        <v>2</v>
      </c>
      <c r="J597" s="36" t="n">
        <v>7</v>
      </c>
      <c r="K597" s="74">
        <f>IFERROR(I597/J597,0)</f>
        <v/>
      </c>
      <c r="L597" s="36" t="n">
        <v>12</v>
      </c>
      <c r="M597" s="36" t="n">
        <v>771</v>
      </c>
      <c r="N597" s="36" t="n">
        <v>28172</v>
      </c>
      <c r="O597" s="35" t="inlineStr">
        <is>
          <t>Video</t>
        </is>
      </c>
    </row>
    <row r="598" ht="13.5" customHeight="1" s="109">
      <c r="A598" s="72" t="inlineStr">
        <is>
          <t>https://www.instagram.com/p/DUffVn9EzDM/</t>
        </is>
      </c>
      <c r="B598" s="72" t="inlineStr">
        <is>
          <t>Societe &amp; Droits</t>
        </is>
      </c>
      <c r="C598" s="72" t="inlineStr">
        <is>
          <t>Faits de societe</t>
        </is>
      </c>
      <c r="D598" s="73" t="n">
        <v>45</v>
      </c>
      <c r="E598" s="73" t="inlineStr">
        <is>
          <t>N</t>
        </is>
      </c>
      <c r="F598" s="72" t="inlineStr">
        <is>
          <t>Média de service public, rapport factuel et équilibré de l'événement.</t>
        </is>
      </c>
      <c r="G598" s="73" t="inlineStr">
        <is>
          <t>Non</t>
        </is>
      </c>
      <c r="H598" s="72" t="n"/>
      <c r="I598" s="73" t="n">
        <v>0</v>
      </c>
      <c r="J598" s="73" t="n">
        <v>6</v>
      </c>
      <c r="K598" s="74">
        <f>IFERROR(I598/J598,0)</f>
        <v/>
      </c>
      <c r="L598" s="73" t="n">
        <v>358</v>
      </c>
      <c r="M598" s="73" t="n">
        <v>20582</v>
      </c>
      <c r="N598" s="73" t="n">
        <v>0</v>
      </c>
      <c r="O598" s="72" t="inlineStr">
        <is>
          <t>Image_Carrousel</t>
        </is>
      </c>
    </row>
    <row r="599" ht="13.5" customHeight="1" s="109">
      <c r="A599" s="35" t="inlineStr">
        <is>
          <t>https://www.instagram.com/p/DUd7hiLlteM/</t>
        </is>
      </c>
      <c r="B599" s="35" t="inlineStr">
        <is>
          <t>Culture &amp; Loisirs</t>
        </is>
      </c>
      <c r="C599" s="35" t="inlineStr">
        <is>
          <t>Medias</t>
        </is>
      </c>
      <c r="D599" s="36" t="n">
        <v>50</v>
      </c>
      <c r="E599" s="36" t="inlineStr">
        <is>
          <t>N</t>
        </is>
      </c>
      <c r="F599" s="35" t="inlineStr">
        <is>
          <t>Média public, informe sur événement culturel et scientifique avec ton neutre.</t>
        </is>
      </c>
      <c r="G599" s="36" t="inlineStr">
        <is>
          <t>Non</t>
        </is>
      </c>
      <c r="H599" s="35" t="n"/>
      <c r="I599" s="36" t="n">
        <v>0</v>
      </c>
      <c r="J599" s="36" t="n">
        <v>6</v>
      </c>
      <c r="K599" s="74">
        <f>IFERROR(I599/J599,0)</f>
        <v/>
      </c>
      <c r="L599" s="36" t="n">
        <v>6</v>
      </c>
      <c r="M599" s="36" t="n">
        <v>4513</v>
      </c>
      <c r="N599" s="36" t="n">
        <v>0</v>
      </c>
      <c r="O599" s="35" t="inlineStr">
        <is>
          <t>Image_Carrousel</t>
        </is>
      </c>
    </row>
    <row r="600" ht="13.5" customHeight="1" s="109">
      <c r="A600" s="72" t="inlineStr">
        <is>
          <t>https://www.instagram.com/p/DUgZYTYDbgo/</t>
        </is>
      </c>
      <c r="B600" s="72" t="inlineStr">
        <is>
          <t>Sante</t>
        </is>
      </c>
      <c r="C600" s="72" t="inlineStr">
        <is>
          <t>Sante publique</t>
        </is>
      </c>
      <c r="D600" s="73" t="n">
        <v>50</v>
      </c>
      <c r="E600" s="73" t="inlineStr">
        <is>
          <t>N</t>
        </is>
      </c>
      <c r="F600" s="72" t="inlineStr">
        <is>
          <t>Rapportage équilibré sur l'obésité féline, le marché, et questions éthiques/pratiques.</t>
        </is>
      </c>
      <c r="G600" s="73" t="inlineStr">
        <is>
          <t>Oui</t>
        </is>
      </c>
      <c r="H600" s="72" t="inlineStr">
        <is>
          <t>Ignore des problèmes animaux plus graves.</t>
        </is>
      </c>
      <c r="I600" s="73" t="n">
        <v>1</v>
      </c>
      <c r="J600" s="73" t="n">
        <v>5</v>
      </c>
      <c r="K600" s="74">
        <f>IFERROR(I600/J600,0)</f>
        <v/>
      </c>
      <c r="L600" s="73" t="n">
        <v>29</v>
      </c>
      <c r="M600" s="73" t="n">
        <v>2267</v>
      </c>
      <c r="N600" s="73" t="n">
        <v>0</v>
      </c>
      <c r="O600" s="72" t="inlineStr">
        <is>
          <t>Image_Carrousel</t>
        </is>
      </c>
    </row>
    <row r="601" ht="13.5" customHeight="1" s="109">
      <c r="A601" s="35" t="inlineStr">
        <is>
          <t>https://www.instagram.com/p/DUdm3JyE0pm/</t>
        </is>
      </c>
      <c r="B601" s="35" t="inlineStr">
        <is>
          <t>Economie &amp; Travail</t>
        </is>
      </c>
      <c r="C601" s="35" t="inlineStr">
        <is>
          <t>Marche du travail</t>
        </is>
      </c>
      <c r="D601" s="36" t="n">
        <v>50</v>
      </c>
      <c r="E601" s="36" t="inlineStr">
        <is>
          <t>N</t>
        </is>
      </c>
      <c r="F601" s="35" t="inlineStr">
        <is>
          <t>Rapportage factuel et équilibré sur les tendances du marché du travail et l'éducation.</t>
        </is>
      </c>
      <c r="G601" s="36" t="inlineStr">
        <is>
          <t>Oui</t>
        </is>
      </c>
      <c r="H601" s="35" t="inlineStr">
        <is>
          <t>Un commentaire conteste la crédibilité de la source ou des dates mentionnées.</t>
        </is>
      </c>
      <c r="I601" s="36" t="n">
        <v>1</v>
      </c>
      <c r="J601" s="36" t="n">
        <v>8</v>
      </c>
      <c r="K601" s="74">
        <f>IFERROR(I601/J601,0)</f>
        <v/>
      </c>
      <c r="L601" s="36" t="n">
        <v>33</v>
      </c>
      <c r="M601" s="36" t="n">
        <v>3918</v>
      </c>
      <c r="N601" s="36" t="n">
        <v>0</v>
      </c>
      <c r="O601" s="35" t="inlineStr">
        <is>
          <t>Image_Carrousel</t>
        </is>
      </c>
    </row>
    <row r="602" ht="13.5" customHeight="1" s="109">
      <c r="A602" s="72" t="inlineStr">
        <is>
          <t>https://www.instagram.com/p/DUZ2nOSETpe/</t>
        </is>
      </c>
      <c r="B602" s="72" t="inlineStr">
        <is>
          <t>Societe &amp; Droits</t>
        </is>
      </c>
      <c r="C602" s="72" t="inlineStr">
        <is>
          <t>Questions de Genre</t>
        </is>
      </c>
      <c r="D602" s="73" t="n">
        <v>45</v>
      </c>
      <c r="E602" s="73" t="inlineStr">
        <is>
          <t>N</t>
        </is>
      </c>
      <c r="F602" s="72" t="inlineStr">
        <is>
          <t>Informe sur MGF, recherche médicale et prévention, promouvant droits des femmes et santé publique.</t>
        </is>
      </c>
      <c r="G602" s="73" t="inlineStr">
        <is>
          <t>Non</t>
        </is>
      </c>
      <c r="H602" s="72" t="n"/>
      <c r="I602" s="73" t="n">
        <v>0</v>
      </c>
      <c r="J602" s="73" t="n">
        <v>4</v>
      </c>
      <c r="K602" s="74">
        <f>IFERROR(I602/J602,0)</f>
        <v/>
      </c>
      <c r="L602" s="73" t="n">
        <v>163</v>
      </c>
      <c r="M602" s="73" t="n">
        <v>9805</v>
      </c>
      <c r="N602" s="73" t="n">
        <v>198936</v>
      </c>
      <c r="O602" s="72" t="inlineStr">
        <is>
          <t>Video</t>
        </is>
      </c>
    </row>
    <row r="603" ht="13.5" customHeight="1" s="109">
      <c r="A603" s="35" t="inlineStr">
        <is>
          <t>https://www.instagram.com/p/DUbI_Sgj7Zr/</t>
        </is>
      </c>
      <c r="B603" s="35" t="inlineStr">
        <is>
          <t>International</t>
        </is>
      </c>
      <c r="C603" s="35" t="inlineStr">
        <is>
          <t>Conflits</t>
        </is>
      </c>
      <c r="D603" s="36" t="n">
        <v>35</v>
      </c>
      <c r="E603" s="36" t="inlineStr">
        <is>
          <t>G</t>
        </is>
      </c>
      <c r="F603" s="35" t="inlineStr">
        <is>
          <t>Rapport critique des actions israéliennes au Liban, soulignant les condamnations de l'ONU.</t>
        </is>
      </c>
      <c r="G603" s="36" t="inlineStr">
        <is>
          <t>Oui</t>
        </is>
      </c>
      <c r="H603" s="35" t="inlineStr">
        <is>
          <t>Un commentaire reproche au média d'avoir précisé l'État ciblé.</t>
        </is>
      </c>
      <c r="I603" s="36" t="n">
        <v>1</v>
      </c>
      <c r="J603" s="36" t="n">
        <v>8</v>
      </c>
      <c r="K603" s="74">
        <f>IFERROR(I603/J603,0)</f>
        <v/>
      </c>
      <c r="L603" s="36" t="n">
        <v>260</v>
      </c>
      <c r="M603" s="36" t="n">
        <v>8264</v>
      </c>
      <c r="N603" s="36" t="n">
        <v>101840</v>
      </c>
      <c r="O603" s="35" t="inlineStr">
        <is>
          <t>Video</t>
        </is>
      </c>
    </row>
    <row r="604" ht="13.5" customHeight="1" s="109">
      <c r="A604" s="72" t="inlineStr">
        <is>
          <t>https://www.instagram.com/p/DUXtNquDPLo/</t>
        </is>
      </c>
      <c r="B604" s="72" t="inlineStr">
        <is>
          <t>Culture &amp; Loisirs</t>
        </is>
      </c>
      <c r="C604" s="72" t="inlineStr">
        <is>
          <t>Sport</t>
        </is>
      </c>
      <c r="D604" s="73" t="n">
        <v>40</v>
      </c>
      <c r="E604" s="73" t="inlineStr">
        <is>
          <t>N</t>
        </is>
      </c>
      <c r="F604" s="72" t="inlineStr">
        <is>
          <t>RTS, service public, perçue légèrement à gauche et critiquée pour sa neutralité.</t>
        </is>
      </c>
      <c r="G604" s="73" t="inlineStr">
        <is>
          <t>Oui</t>
        </is>
      </c>
      <c r="H604" s="72" t="inlineStr">
        <is>
          <t>Accusation de censure et de biais idéologique (rot-grün).</t>
        </is>
      </c>
      <c r="I604" s="73" t="n">
        <v>2</v>
      </c>
      <c r="J604" s="73" t="n">
        <v>8</v>
      </c>
      <c r="K604" s="74">
        <f>IFERROR(I604/J604,0)</f>
        <v/>
      </c>
      <c r="L604" s="73" t="n">
        <v>163</v>
      </c>
      <c r="M604" s="73" t="n">
        <v>2240</v>
      </c>
      <c r="N604" s="73" t="n">
        <v>31192</v>
      </c>
      <c r="O604" s="72" t="inlineStr">
        <is>
          <t>Video</t>
        </is>
      </c>
    </row>
    <row r="605" ht="13.5" customHeight="1" s="109">
      <c r="A605" s="35" t="inlineStr">
        <is>
          <t>https://www.instagram.com/p/DUfN89yD7NS/</t>
        </is>
      </c>
      <c r="B605" s="35" t="inlineStr">
        <is>
          <t>Economie &amp; Travail</t>
        </is>
      </c>
      <c r="C605" s="35" t="inlineStr">
        <is>
          <t>Marche du travail</t>
        </is>
      </c>
      <c r="D605" s="36" t="n">
        <v>40</v>
      </c>
      <c r="E605" s="36" t="inlineStr">
        <is>
          <t>N</t>
        </is>
      </c>
      <c r="F605" s="35" t="inlineStr">
        <is>
          <t>Média public Suisse, généralement centriste et ouvert aux tendances sociétales.</t>
        </is>
      </c>
      <c r="G605" s="36" t="inlineStr">
        <is>
          <t>Oui</t>
        </is>
      </c>
      <c r="H605" s="35" t="inlineStr">
        <is>
          <t>Critiques sur la représentativité des exemples ou le réalisme du sujet.</t>
        </is>
      </c>
      <c r="I605" s="36" t="n">
        <v>2</v>
      </c>
      <c r="J605" s="36" t="n">
        <v>6</v>
      </c>
      <c r="K605" s="74">
        <f>IFERROR(I605/J605,0)</f>
        <v/>
      </c>
      <c r="L605" s="36" t="n">
        <v>247</v>
      </c>
      <c r="M605" s="36" t="n">
        <v>6548</v>
      </c>
      <c r="N605" s="36" t="n">
        <v>191207</v>
      </c>
      <c r="O605" s="35" t="inlineStr">
        <is>
          <t>Video</t>
        </is>
      </c>
    </row>
    <row r="606" ht="13.5" customHeight="1" s="109">
      <c r="A606" s="72" t="inlineStr">
        <is>
          <t>https://www.instagram.com/p/DUdEiM5j5XE/</t>
        </is>
      </c>
      <c r="B606" s="72" t="inlineStr">
        <is>
          <t>Environnement &amp; Nature</t>
        </is>
      </c>
      <c r="C606" s="72" t="inlineStr">
        <is>
          <t>Climat / Ecologie</t>
        </is>
      </c>
      <c r="D606" s="73" t="n">
        <v>50</v>
      </c>
      <c r="E606" s="73" t="inlineStr">
        <is>
          <t>N</t>
        </is>
      </c>
      <c r="F606" s="72" t="inlineStr">
        <is>
          <t>Média public suisse, contenu informatif et positif sur initiatives locales, non polarisé politiquement.</t>
        </is>
      </c>
      <c r="G606" s="73" t="inlineStr">
        <is>
          <t>Oui</t>
        </is>
      </c>
      <c r="H606" s="72" t="inlineStr">
        <is>
          <t>Remet en question le focus sur les chats versus les loups, incohérence Suisse.</t>
        </is>
      </c>
      <c r="I606" s="73" t="n">
        <v>1</v>
      </c>
      <c r="J606" s="73" t="n">
        <v>9</v>
      </c>
      <c r="K606" s="74">
        <f>IFERROR(I606/J606,0)</f>
        <v/>
      </c>
      <c r="L606" s="73" t="n">
        <v>40</v>
      </c>
      <c r="M606" s="73" t="n">
        <v>5261</v>
      </c>
      <c r="N606" s="73" t="n">
        <v>0</v>
      </c>
      <c r="O606" s="72" t="inlineStr">
        <is>
          <t>Image_Carrousel</t>
        </is>
      </c>
    </row>
    <row r="607" ht="13.5" customHeight="1" s="109">
      <c r="A607" s="35" t="inlineStr">
        <is>
          <t>https://www.instagram.com/p/DUdSozQAnTM/</t>
        </is>
      </c>
      <c r="B607" s="35" t="inlineStr">
        <is>
          <t>Sante</t>
        </is>
      </c>
      <c r="C607" s="35" t="inlineStr">
        <is>
          <t>Prevention</t>
        </is>
      </c>
      <c r="D607" s="36" t="n">
        <v>55</v>
      </c>
      <c r="E607" s="36" t="inlineStr">
        <is>
          <t>N</t>
        </is>
      </c>
      <c r="F607" s="35" t="inlineStr">
        <is>
          <t>RTS est un média de service public, privilégiant l'information et la sensibilisation.</t>
        </is>
      </c>
      <c r="G607" s="36" t="inlineStr">
        <is>
          <t>Non</t>
        </is>
      </c>
      <c r="H607" s="35" t="n"/>
      <c r="I607" s="36" t="n">
        <v>0</v>
      </c>
      <c r="J607" s="36" t="n">
        <v>5</v>
      </c>
      <c r="K607" s="74">
        <f>IFERROR(I607/J607,0)</f>
        <v/>
      </c>
      <c r="L607" s="36" t="n">
        <v>92</v>
      </c>
      <c r="M607" s="36" t="n">
        <v>7051</v>
      </c>
      <c r="N607" s="36" t="n">
        <v>0</v>
      </c>
      <c r="O607" s="35" t="inlineStr">
        <is>
          <t>Image_Carrousel</t>
        </is>
      </c>
    </row>
    <row r="608" ht="13.5" customHeight="1" s="109">
      <c r="A608" s="72" t="inlineStr">
        <is>
          <t>https://www.instagram.com/p/DUcpJwUDZUw/</t>
        </is>
      </c>
      <c r="B608" s="72" t="inlineStr">
        <is>
          <t>Culture &amp; Loisirs</t>
        </is>
      </c>
      <c r="C608" s="72" t="inlineStr">
        <is>
          <t>Sport</t>
        </is>
      </c>
      <c r="D608" s="73" t="n">
        <v>50</v>
      </c>
      <c r="E608" s="73" t="inlineStr">
        <is>
          <t>N</t>
        </is>
      </c>
      <c r="F608" s="72" t="inlineStr">
        <is>
          <t>Média public suisse couvrant l'actualité sportive avec une approche factuelle et neutre.</t>
        </is>
      </c>
      <c r="G608" s="73" t="inlineStr">
        <is>
          <t>Non</t>
        </is>
      </c>
      <c r="H608" s="72" t="n"/>
      <c r="I608" s="73" t="n">
        <v>0</v>
      </c>
      <c r="J608" s="73" t="n">
        <v>10</v>
      </c>
      <c r="K608" s="74">
        <f>IFERROR(I608/J608,0)</f>
        <v/>
      </c>
      <c r="L608" s="73" t="n">
        <v>23</v>
      </c>
      <c r="M608" s="73" t="n">
        <v>18516</v>
      </c>
      <c r="N608" s="73" t="n">
        <v>220026</v>
      </c>
      <c r="O608" s="72" t="inlineStr">
        <is>
          <t>Video</t>
        </is>
      </c>
    </row>
    <row r="609" ht="13.5" customHeight="1" s="109">
      <c r="A609" s="35" t="inlineStr">
        <is>
          <t>https://www.instagram.com/p/DUafwzxjU5I/</t>
        </is>
      </c>
      <c r="B609" s="35" t="inlineStr">
        <is>
          <t>Culture &amp; Loisirs</t>
        </is>
      </c>
      <c r="C609" s="35" t="inlineStr">
        <is>
          <t>Sport</t>
        </is>
      </c>
      <c r="D609" s="36" t="n">
        <v>50</v>
      </c>
      <c r="E609" s="36" t="inlineStr">
        <is>
          <t>N</t>
        </is>
      </c>
      <c r="F609" s="35" t="inlineStr">
        <is>
          <t>RTS est un média de service public, présentation factuelle d'un événement sportif.</t>
        </is>
      </c>
      <c r="G609" s="36" t="inlineStr">
        <is>
          <t>Non</t>
        </is>
      </c>
      <c r="H609" s="35" t="n"/>
      <c r="I609" s="36" t="n">
        <v>0</v>
      </c>
      <c r="J609" s="36" t="n">
        <v>10</v>
      </c>
      <c r="K609" s="74">
        <f>IFERROR(I609/J609,0)</f>
        <v/>
      </c>
      <c r="L609" s="36" t="n">
        <v>65</v>
      </c>
      <c r="M609" s="36" t="n">
        <v>13766</v>
      </c>
      <c r="N609" s="36" t="n">
        <v>0</v>
      </c>
      <c r="O609" s="35" t="inlineStr">
        <is>
          <t>Image_Carrousel</t>
        </is>
      </c>
    </row>
    <row r="610" ht="13.5" customHeight="1" s="109">
      <c r="A610" s="72" t="inlineStr">
        <is>
          <t>https://www.instagram.com/p/DUc6UftgP7v/</t>
        </is>
      </c>
      <c r="B610" s="72" t="inlineStr">
        <is>
          <t>Societe &amp; Droits</t>
        </is>
      </c>
      <c r="C610" s="72" t="inlineStr">
        <is>
          <t>Faits de societe</t>
        </is>
      </c>
      <c r="D610" s="73" t="n">
        <v>50</v>
      </c>
      <c r="E610" s="73" t="inlineStr">
        <is>
          <t>N</t>
        </is>
      </c>
      <c r="F610" s="72" t="inlineStr">
        <is>
          <t>RTS, service public, récit humain sur résilience et problèmes sociaux, non politisé.</t>
        </is>
      </c>
      <c r="G610" s="73" t="inlineStr">
        <is>
          <t>Non</t>
        </is>
      </c>
      <c r="H610" s="72" t="n"/>
      <c r="I610" s="73" t="n">
        <v>0</v>
      </c>
      <c r="J610" s="73" t="n">
        <v>6</v>
      </c>
      <c r="K610" s="74">
        <f>IFERROR(I610/J610,0)</f>
        <v/>
      </c>
      <c r="L610" s="73" t="n">
        <v>126</v>
      </c>
      <c r="M610" s="73" t="n">
        <v>7801</v>
      </c>
      <c r="N610" s="73" t="n">
        <v>107083</v>
      </c>
      <c r="O610" s="72" t="inlineStr">
        <is>
          <t>Video</t>
        </is>
      </c>
    </row>
    <row r="611" ht="13.5" customHeight="1" s="109">
      <c r="A611" s="35" t="inlineStr">
        <is>
          <t>https://www.instagram.com/p/DUaVb0EAYhW/</t>
        </is>
      </c>
      <c r="B611" s="35" t="inlineStr">
        <is>
          <t>Sante</t>
        </is>
      </c>
      <c r="C611" s="35" t="inlineStr">
        <is>
          <t>Sante publique</t>
        </is>
      </c>
      <c r="D611" s="36" t="n">
        <v>40</v>
      </c>
      <c r="E611" s="36" t="inlineStr">
        <is>
          <t>N</t>
        </is>
      </c>
      <c r="F611" s="35" t="inlineStr">
        <is>
          <t>RTS, service public, rapporte des faits critiques pour la santé publique.</t>
        </is>
      </c>
      <c r="G611" s="36" t="inlineStr">
        <is>
          <t>Non</t>
        </is>
      </c>
      <c r="H611" s="35" t="n"/>
      <c r="I611" s="36" t="n">
        <v>0</v>
      </c>
      <c r="J611" s="36" t="n">
        <v>2</v>
      </c>
      <c r="K611" s="74">
        <f>IFERROR(I611/J611,0)</f>
        <v/>
      </c>
      <c r="L611" s="36" t="n">
        <v>58</v>
      </c>
      <c r="M611" s="36" t="n">
        <v>1629</v>
      </c>
      <c r="N611" s="36" t="n">
        <v>0</v>
      </c>
      <c r="O611" s="35" t="inlineStr">
        <is>
          <t>Image_Carrousel</t>
        </is>
      </c>
    </row>
    <row r="612" ht="13.5" customHeight="1" s="109">
      <c r="A612" s="72" t="inlineStr">
        <is>
          <t>https://www.instagram.com/p/DUeaxdilY3o/</t>
        </is>
      </c>
      <c r="B612" s="72" t="inlineStr">
        <is>
          <t>Culture &amp; Loisirs</t>
        </is>
      </c>
      <c r="C612" s="72" t="inlineStr">
        <is>
          <t>Medias</t>
        </is>
      </c>
      <c r="D612" s="73" t="n">
        <v>45</v>
      </c>
      <c r="E612" s="73" t="inlineStr">
        <is>
          <t>N</t>
        </is>
      </c>
      <c r="F612" s="72" t="inlineStr">
        <is>
          <t>RTS est un média de service public, rapportant un événement médiatique neutrement.</t>
        </is>
      </c>
      <c r="G612" s="73" t="inlineStr">
        <is>
          <t>Non</t>
        </is>
      </c>
      <c r="H612" s="72" t="n"/>
      <c r="I612" s="73" t="n">
        <v>0</v>
      </c>
      <c r="J612" s="73" t="n">
        <v>6</v>
      </c>
      <c r="K612" s="74">
        <f>IFERROR(I612/J612,0)</f>
        <v/>
      </c>
      <c r="L612" s="73" t="n">
        <v>147</v>
      </c>
      <c r="M612" s="73" t="n">
        <v>7552</v>
      </c>
      <c r="N612" s="73" t="n">
        <v>0</v>
      </c>
      <c r="O612" s="72" t="inlineStr">
        <is>
          <t>Image_Carrousel</t>
        </is>
      </c>
    </row>
    <row r="613" ht="13.5" customHeight="1" s="109">
      <c r="A613" s="35" t="inlineStr">
        <is>
          <t>https://www.instagram.com/p/DUbI-gDAehf/</t>
        </is>
      </c>
      <c r="B613" s="35" t="inlineStr">
        <is>
          <t>Economie &amp; Travail</t>
        </is>
      </c>
      <c r="C613" s="35" t="inlineStr">
        <is>
          <t>Consommation</t>
        </is>
      </c>
      <c r="D613" s="36" t="n">
        <v>50</v>
      </c>
      <c r="E613" s="36" t="inlineStr">
        <is>
          <t>N</t>
        </is>
      </c>
      <c r="F613" s="35" t="inlineStr">
        <is>
          <t>Reportage factuel sur une tendance de consommation issue des réseaux sociaux.</t>
        </is>
      </c>
      <c r="G613" s="36" t="inlineStr">
        <is>
          <t>Non</t>
        </is>
      </c>
      <c r="H613" s="35" t="inlineStr">
        <is>
          <t>Aucune critique du media trouvée.</t>
        </is>
      </c>
      <c r="I613" s="36" t="n">
        <v>0</v>
      </c>
      <c r="J613" s="36" t="n">
        <v>5</v>
      </c>
      <c r="K613" s="74">
        <f>IFERROR(I613/J613,0)</f>
        <v/>
      </c>
      <c r="L613" s="36" t="n">
        <v>66</v>
      </c>
      <c r="M613" s="36" t="n">
        <v>2573</v>
      </c>
      <c r="N613" s="36" t="n">
        <v>0</v>
      </c>
      <c r="O613" s="35" t="inlineStr">
        <is>
          <t>Image_Carrousel</t>
        </is>
      </c>
    </row>
    <row r="614" ht="13.5" customHeight="1" s="109">
      <c r="A614" s="72" t="inlineStr">
        <is>
          <t>https://www.instagram.com/p/DUYBg_kgsZP/</t>
        </is>
      </c>
      <c r="B614" s="72" t="inlineStr">
        <is>
          <t>Culture &amp; Loisirs</t>
        </is>
      </c>
      <c r="C614" s="72" t="inlineStr">
        <is>
          <t>Sport</t>
        </is>
      </c>
      <c r="D614" s="73" t="n">
        <v>50</v>
      </c>
      <c r="E614" s="73" t="inlineStr">
        <is>
          <t>N</t>
        </is>
      </c>
      <c r="F614" s="72" t="inlineStr">
        <is>
          <t>Information factuelle sur un événement sportif, mentionne la pratique égalitaire homme/femme.</t>
        </is>
      </c>
      <c r="G614" s="73" t="inlineStr">
        <is>
          <t>Non</t>
        </is>
      </c>
      <c r="H614" s="72" t="n"/>
      <c r="I614" s="73" t="n">
        <v>0</v>
      </c>
      <c r="J614" s="73" t="n">
        <v>4</v>
      </c>
      <c r="K614" s="74">
        <f>IFERROR(I614/J614,0)</f>
        <v/>
      </c>
      <c r="L614" s="73" t="n">
        <v>4</v>
      </c>
      <c r="M614" s="73" t="n">
        <v>1339</v>
      </c>
      <c r="N614" s="73" t="n">
        <v>0</v>
      </c>
      <c r="O614" s="72" t="inlineStr">
        <is>
          <t>Image_Carrousel</t>
        </is>
      </c>
    </row>
    <row r="615" ht="13.5" customHeight="1" s="109">
      <c r="A615" s="35" t="inlineStr">
        <is>
          <t>https://www.instagram.com/p/DUbqnjegum_/</t>
        </is>
      </c>
      <c r="B615" s="35" t="inlineStr">
        <is>
          <t>Culture &amp; Loisirs</t>
        </is>
      </c>
      <c r="C615" s="35" t="inlineStr">
        <is>
          <t>Sport</t>
        </is>
      </c>
      <c r="D615" s="36" t="n">
        <v>50</v>
      </c>
      <c r="E615" s="36" t="inlineStr">
        <is>
          <t>N</t>
        </is>
      </c>
      <c r="F615" s="35" t="inlineStr">
        <is>
          <t>RTS, média public, couverture événementielle factuelle des JO.</t>
        </is>
      </c>
      <c r="G615" s="36" t="inlineStr">
        <is>
          <t>Oui</t>
        </is>
      </c>
      <c r="H615" s="35" t="inlineStr">
        <is>
          <t>Biais perçu traitement conflits internationaux, manque de connaissance.</t>
        </is>
      </c>
      <c r="I615" s="36" t="n">
        <v>1</v>
      </c>
      <c r="J615" s="36" t="n">
        <v>7</v>
      </c>
      <c r="K615" s="74">
        <f>IFERROR(I615/J615,0)</f>
        <v/>
      </c>
      <c r="L615" s="36" t="n">
        <v>14</v>
      </c>
      <c r="M615" s="36" t="n">
        <v>2336</v>
      </c>
      <c r="N615" s="36" t="n">
        <v>0</v>
      </c>
      <c r="O615" s="35" t="inlineStr">
        <is>
          <t>Image_Carrousel</t>
        </is>
      </c>
    </row>
    <row r="616" ht="13.5" customHeight="1" s="109">
      <c r="A616" s="72" t="inlineStr">
        <is>
          <t>https://www.instagram.com/p/DUfie67D1hn/</t>
        </is>
      </c>
      <c r="B616" s="72" t="inlineStr">
        <is>
          <t>Environnement &amp; Nature</t>
        </is>
      </c>
      <c r="C616" s="72" t="inlineStr">
        <is>
          <t>Climat / Ecologie</t>
        </is>
      </c>
      <c r="D616" s="73" t="n">
        <v>45</v>
      </c>
      <c r="E616" s="73" t="inlineStr">
        <is>
          <t>N</t>
        </is>
      </c>
      <c r="F616" s="72" t="inlineStr">
        <is>
          <t>Média de service public informe sur la conservation et une opportunité solidaire.</t>
        </is>
      </c>
      <c r="G616" s="73" t="inlineStr">
        <is>
          <t>Non</t>
        </is>
      </c>
      <c r="H616" s="72" t="n"/>
      <c r="I616" s="73" t="n">
        <v>0</v>
      </c>
      <c r="J616" s="73" t="n">
        <v>10</v>
      </c>
      <c r="K616" s="74">
        <f>IFERROR(I616/J616,0)</f>
        <v/>
      </c>
      <c r="L616" s="73" t="n">
        <v>33</v>
      </c>
      <c r="M616" s="73" t="n">
        <v>6702</v>
      </c>
      <c r="N616" s="73" t="n">
        <v>0</v>
      </c>
      <c r="O616" s="72" t="inlineStr">
        <is>
          <t>Image_Carrousel</t>
        </is>
      </c>
    </row>
    <row r="617" ht="13.5" customHeight="1" s="109">
      <c r="A617" s="35" t="inlineStr">
        <is>
          <t>https://www.instagram.com/p/DUa6yNAickC/</t>
        </is>
      </c>
      <c r="B617" s="35" t="inlineStr">
        <is>
          <t>Environnement &amp; Nature</t>
        </is>
      </c>
      <c r="C617" s="35" t="inlineStr">
        <is>
          <t>Climat / Ecologie</t>
        </is>
      </c>
      <c r="D617" s="36" t="n">
        <v>40</v>
      </c>
      <c r="E617" s="36" t="inlineStr">
        <is>
          <t>N</t>
        </is>
      </c>
      <c r="F617" s="35" t="inlineStr">
        <is>
          <t>Média public suisse, factuel et neutre sur la découverte scientifique.</t>
        </is>
      </c>
      <c r="G617" s="36" t="inlineStr">
        <is>
          <t>Oui</t>
        </is>
      </c>
      <c r="H617" s="35" t="inlineStr">
        <is>
          <t>Comparaison de taille (méduse/bus) jugée inappropriée par le public.</t>
        </is>
      </c>
      <c r="I617" s="36" t="n">
        <v>1</v>
      </c>
      <c r="J617" s="36" t="n">
        <v>10</v>
      </c>
      <c r="K617" s="74">
        <f>IFERROR(I617/J617,0)</f>
        <v/>
      </c>
      <c r="L617" s="36" t="n">
        <v>53</v>
      </c>
      <c r="M617" s="36" t="n">
        <v>20645</v>
      </c>
      <c r="N617" s="36" t="n">
        <v>0</v>
      </c>
      <c r="O617" s="35" t="inlineStr">
        <is>
          <t>Image_Carrousel</t>
        </is>
      </c>
    </row>
    <row r="618" ht="13.5" customHeight="1" s="109">
      <c r="A618" s="72" t="inlineStr">
        <is>
          <t>https://www.instagram.com/p/DUbCT5qjAMU/</t>
        </is>
      </c>
      <c r="B618" s="72" t="inlineStr">
        <is>
          <t>Societe &amp; Droits</t>
        </is>
      </c>
      <c r="C618" s="72" t="inlineStr">
        <is>
          <t>Faits de societe</t>
        </is>
      </c>
      <c r="D618" s="73" t="n">
        <v>50</v>
      </c>
      <c r="E618" s="73" t="inlineStr">
        <is>
          <t>N</t>
        </is>
      </c>
      <c r="F618" s="72" t="inlineStr">
        <is>
          <t>RTS, diffuseur public, présente des sujets sociétaux divers sans biais apparent.</t>
        </is>
      </c>
      <c r="G618" s="73" t="inlineStr">
        <is>
          <t>Oui</t>
        </is>
      </c>
      <c r="H618" s="72" t="inlineStr">
        <is>
          <t>Des sujets sont jugés non-nouveaux ou manquant d'originalité par l'audience.</t>
        </is>
      </c>
      <c r="I618" s="73" t="n">
        <v>2</v>
      </c>
      <c r="J618" s="73" t="n">
        <v>9</v>
      </c>
      <c r="K618" s="74">
        <f>IFERROR(I618/J618,0)</f>
        <v/>
      </c>
      <c r="L618" s="73" t="n">
        <v>155</v>
      </c>
      <c r="M618" s="73" t="n">
        <v>5539</v>
      </c>
      <c r="N618" s="73" t="n">
        <v>0</v>
      </c>
      <c r="O618" s="72" t="inlineStr">
        <is>
          <t>Image_Carrousel</t>
        </is>
      </c>
    </row>
    <row r="619" ht="13.5" customHeight="1" s="109">
      <c r="A619" s="35" t="inlineStr">
        <is>
          <t>https://www.instagram.com/p/DUX6_GpDQsR/</t>
        </is>
      </c>
      <c r="B619" s="35" t="inlineStr">
        <is>
          <t>Societe &amp; Droits</t>
        </is>
      </c>
      <c r="C619" s="35" t="inlineStr">
        <is>
          <t>Immigration</t>
        </is>
      </c>
      <c r="D619" s="36" t="n">
        <v>40</v>
      </c>
      <c r="E619" s="36" t="inlineStr">
        <is>
          <t>G</t>
        </is>
      </c>
      <c r="F619" s="35" t="inlineStr">
        <is>
          <t>Critique implicite politiques migratoires durcies via stats sur non-violents.</t>
        </is>
      </c>
      <c r="G619" s="36" t="inlineStr">
        <is>
          <t>Non</t>
        </is>
      </c>
      <c r="H619" s="35" t="n"/>
      <c r="I619" s="36" t="n">
        <v>0</v>
      </c>
      <c r="J619" s="36" t="n">
        <v>2</v>
      </c>
      <c r="K619" s="74">
        <f>IFERROR(I619/J619,0)</f>
        <v/>
      </c>
      <c r="L619" s="36" t="n">
        <v>164</v>
      </c>
      <c r="M619" s="36" t="n">
        <v>3007</v>
      </c>
      <c r="N619" s="36" t="n">
        <v>0</v>
      </c>
      <c r="O619" s="35" t="inlineStr">
        <is>
          <t>Image_Carrousel</t>
        </is>
      </c>
    </row>
    <row r="620" ht="13.5" customHeight="1" s="109">
      <c r="A620" s="72" t="inlineStr">
        <is>
          <t>https://www.instagram.com/p/DUYBz8XCO1G/</t>
        </is>
      </c>
      <c r="B620" s="72" t="inlineStr">
        <is>
          <t>Economie &amp; Travail</t>
        </is>
      </c>
      <c r="C620" s="72" t="inlineStr">
        <is>
          <t>Consommation</t>
        </is>
      </c>
      <c r="D620" s="73" t="n">
        <v>45</v>
      </c>
      <c r="E620" s="73" t="inlineStr">
        <is>
          <t>N</t>
        </is>
      </c>
      <c r="F620" s="72" t="inlineStr">
        <is>
          <t>RTS, service public, rapporte faits et données institutionnelles de manière neutre.</t>
        </is>
      </c>
      <c r="G620" s="73" t="inlineStr">
        <is>
          <t>Non</t>
        </is>
      </c>
      <c r="H620" s="72" t="n"/>
      <c r="I620" s="73" t="n">
        <v>0</v>
      </c>
      <c r="J620" s="73" t="n">
        <v>7</v>
      </c>
      <c r="K620" s="74">
        <f>IFERROR(I620/J620,0)</f>
        <v/>
      </c>
      <c r="L620" s="73" t="n">
        <v>430</v>
      </c>
      <c r="M620" s="73" t="n">
        <v>7252</v>
      </c>
      <c r="N620" s="73" t="n">
        <v>0</v>
      </c>
      <c r="O620" s="72" t="inlineStr">
        <is>
          <t>Image_Carrousel</t>
        </is>
      </c>
    </row>
    <row r="621" ht="13.5" customHeight="1" s="109">
      <c r="A621" s="35" t="inlineStr">
        <is>
          <t>https://www.instagram.com/p/DUamnCxihVR/</t>
        </is>
      </c>
      <c r="B621" s="35" t="inlineStr">
        <is>
          <t>Sante</t>
        </is>
      </c>
      <c r="C621" s="35" t="inlineStr">
        <is>
          <t>Sante publique</t>
        </is>
      </c>
      <c r="D621" s="36" t="n">
        <v>50</v>
      </c>
      <c r="E621" s="36" t="inlineStr">
        <is>
          <t>N</t>
        </is>
      </c>
      <c r="F621" s="35" t="inlineStr">
        <is>
          <t>Rapport factuel d'étude scientifique sur l'impact du Covid-19.</t>
        </is>
      </c>
      <c r="G621" s="36" t="inlineStr">
        <is>
          <t>Non</t>
        </is>
      </c>
      <c r="H621" s="35" t="n"/>
      <c r="I621" s="36" t="n">
        <v>0</v>
      </c>
      <c r="J621" s="36" t="n">
        <v>3</v>
      </c>
      <c r="K621" s="74">
        <f>IFERROR(I621/J621,0)</f>
        <v/>
      </c>
      <c r="L621" s="36" t="n">
        <v>72</v>
      </c>
      <c r="M621" s="36" t="n">
        <v>3285</v>
      </c>
      <c r="N621" s="36" t="n">
        <v>0</v>
      </c>
      <c r="O621" s="35" t="inlineStr">
        <is>
          <t>Image_Carrousel</t>
        </is>
      </c>
    </row>
    <row r="622" ht="13.5" customHeight="1" s="109">
      <c r="A622" s="72" t="inlineStr">
        <is>
          <t>https://www.instagram.com/p/DUbP035jxUB/</t>
        </is>
      </c>
      <c r="B622" s="72" t="inlineStr">
        <is>
          <t>Environnement &amp; Nature</t>
        </is>
      </c>
      <c r="C622" s="72" t="inlineStr">
        <is>
          <t>Climat / Ecologie</t>
        </is>
      </c>
      <c r="D622" s="73" t="n">
        <v>45</v>
      </c>
      <c r="E622" s="73" t="inlineStr">
        <is>
          <t>N</t>
        </is>
      </c>
      <c r="F622" s="72" t="inlineStr">
        <is>
          <t>Média de service public, neutre avec une sensibilité sociale et environnementale.</t>
        </is>
      </c>
      <c r="G622" s="73" t="inlineStr">
        <is>
          <t>Oui</t>
        </is>
      </c>
      <c r="H622" s="72" t="inlineStr">
        <is>
          <t>Le média ne couvre pas suffisamment le sujet ou l'aide possible.</t>
        </is>
      </c>
      <c r="I622" s="73" t="n">
        <v>1</v>
      </c>
      <c r="J622" s="73" t="n">
        <v>6</v>
      </c>
      <c r="K622" s="74">
        <f>IFERROR(I622/J622,0)</f>
        <v/>
      </c>
      <c r="L622" s="73" t="n">
        <v>23</v>
      </c>
      <c r="M622" s="73" t="n">
        <v>3611</v>
      </c>
      <c r="N622" s="73" t="n">
        <v>0</v>
      </c>
      <c r="O622" s="72" t="inlineStr">
        <is>
          <t>Image_Carrousel</t>
        </is>
      </c>
    </row>
    <row r="623" ht="13.5" customHeight="1" s="109">
      <c r="A623" s="35" t="inlineStr">
        <is>
          <t>https://www.instagram.com/p/DUYM4bmgMOe/</t>
        </is>
      </c>
      <c r="B623" s="35" t="inlineStr">
        <is>
          <t>International</t>
        </is>
      </c>
      <c r="C623" s="35" t="inlineStr">
        <is>
          <t>Geopolitique</t>
        </is>
      </c>
      <c r="D623" s="36" t="n">
        <v>45</v>
      </c>
      <c r="E623" s="36" t="inlineStr">
        <is>
          <t>N</t>
        </is>
      </c>
      <c r="F623" s="35" t="inlineStr">
        <is>
          <t>Média public suisse, rapportage équilibré sur un sujet critique d'élites.</t>
        </is>
      </c>
      <c r="G623" s="36" t="inlineStr">
        <is>
          <t>Oui</t>
        </is>
      </c>
      <c r="H623" s="35" t="inlineStr">
        <is>
          <t>Un commentaire questionne la complétude de l'information.</t>
        </is>
      </c>
      <c r="I623" s="36" t="n">
        <v>1</v>
      </c>
      <c r="J623" s="36" t="n">
        <v>8</v>
      </c>
      <c r="K623" s="74">
        <f>IFERROR(I623/J623,0)</f>
        <v/>
      </c>
      <c r="L623" s="36" t="n">
        <v>33</v>
      </c>
      <c r="M623" s="36" t="n">
        <v>2106</v>
      </c>
      <c r="N623" s="36" t="n">
        <v>0</v>
      </c>
      <c r="O623" s="35" t="inlineStr">
        <is>
          <t>Image_Carrousel</t>
        </is>
      </c>
    </row>
    <row r="624" ht="13.5" customHeight="1" s="109">
      <c r="A624" s="72" t="inlineStr">
        <is>
          <t>https://www.instagram.com/p/DUXRy6LDe88/</t>
        </is>
      </c>
      <c r="B624" s="72" t="inlineStr">
        <is>
          <t>Societe &amp; Droits</t>
        </is>
      </c>
      <c r="C624" s="72" t="inlineStr">
        <is>
          <t>Questions de Genre</t>
        </is>
      </c>
      <c r="D624" s="73" t="n">
        <v>35</v>
      </c>
      <c r="E624" s="73" t="inlineStr">
        <is>
          <t>G</t>
        </is>
      </c>
      <c r="F624" s="72" t="inlineStr">
        <is>
          <t>Aborde un enjeu social féminin impactant travail et bien-être, appelant à des solutions inclusives.</t>
        </is>
      </c>
      <c r="G624" s="73" t="inlineStr">
        <is>
          <t>Non</t>
        </is>
      </c>
      <c r="H624" s="72" t="n"/>
      <c r="I624" s="73" t="n">
        <v>0</v>
      </c>
      <c r="J624" s="73" t="n">
        <v>4</v>
      </c>
      <c r="K624" s="74">
        <f>IFERROR(I624/J624,0)</f>
        <v/>
      </c>
      <c r="L624" s="73" t="n">
        <v>109</v>
      </c>
      <c r="M624" s="73" t="n">
        <v>4192</v>
      </c>
      <c r="N624" s="73" t="n">
        <v>78672</v>
      </c>
      <c r="O624" s="72" t="inlineStr">
        <is>
          <t>Video</t>
        </is>
      </c>
    </row>
    <row r="625" ht="13.5" customHeight="1" s="109">
      <c r="A625" s="35" t="inlineStr">
        <is>
          <t>https://www.instagram.com/p/DUYdSGYjGtg/</t>
        </is>
      </c>
      <c r="B625" s="35" t="inlineStr">
        <is>
          <t>Economie &amp; Travail</t>
        </is>
      </c>
      <c r="C625" s="35" t="inlineStr">
        <is>
          <t>Agriculture</t>
        </is>
      </c>
      <c r="D625" s="36" t="n">
        <v>50</v>
      </c>
      <c r="E625" s="36" t="inlineStr">
        <is>
          <t>N</t>
        </is>
      </c>
      <c r="F625" s="35" t="inlineStr">
        <is>
          <t>RTS/ATS, service public, visent une information neutre et factuelle.</t>
        </is>
      </c>
      <c r="G625" s="36" t="inlineStr">
        <is>
          <t>Non</t>
        </is>
      </c>
      <c r="H625" s="35" t="n"/>
      <c r="I625" s="36" t="n">
        <v>0</v>
      </c>
      <c r="J625" s="36" t="n">
        <v>6</v>
      </c>
      <c r="K625" s="74">
        <f>IFERROR(I625/J625,0)</f>
        <v/>
      </c>
      <c r="L625" s="36" t="n">
        <v>50</v>
      </c>
      <c r="M625" s="36" t="n">
        <v>1595</v>
      </c>
      <c r="N625" s="36" t="n">
        <v>0</v>
      </c>
      <c r="O625" s="35" t="inlineStr">
        <is>
          <t>Image_Carrousel</t>
        </is>
      </c>
    </row>
    <row r="626" ht="13.5" customHeight="1" s="109">
      <c r="A626" s="72" t="inlineStr">
        <is>
          <t>https://www.instagram.com/p/DUYIrASjaRD/</t>
        </is>
      </c>
      <c r="B626" s="72" t="inlineStr">
        <is>
          <t>Economie &amp; Travail</t>
        </is>
      </c>
      <c r="C626" s="72" t="inlineStr">
        <is>
          <t>Consommation</t>
        </is>
      </c>
      <c r="D626" s="73" t="n">
        <v>45</v>
      </c>
      <c r="E626" s="73" t="inlineStr">
        <is>
          <t>N</t>
        </is>
      </c>
      <c r="F626" s="72" t="inlineStr">
        <is>
          <t>Média public, rapporte les enjeux économiques, incluant les critiques consommateurs.</t>
        </is>
      </c>
      <c r="G626" s="73" t="inlineStr">
        <is>
          <t>Non</t>
        </is>
      </c>
      <c r="H626" s="72" t="inlineStr">
        <is>
          <t>Aucune critique du média dans les commentaires.</t>
        </is>
      </c>
      <c r="I626" s="73" t="n">
        <v>0</v>
      </c>
      <c r="J626" s="73" t="n">
        <v>6</v>
      </c>
      <c r="K626" s="74">
        <f>IFERROR(I626/J626,0)</f>
        <v/>
      </c>
      <c r="L626" s="73" t="n">
        <v>11</v>
      </c>
      <c r="M626" s="73" t="n">
        <v>2875</v>
      </c>
      <c r="N626" s="73" t="n">
        <v>0</v>
      </c>
      <c r="O626" s="72" t="inlineStr">
        <is>
          <t>Image_Carrousel</t>
        </is>
      </c>
    </row>
    <row r="627" ht="13.5" customHeight="1" s="109">
      <c r="A627" s="35" t="inlineStr">
        <is>
          <t>https://www.instagram.com/p/DUYrGxsjqqr/</t>
        </is>
      </c>
      <c r="B627" s="35" t="inlineStr">
        <is>
          <t>Societe &amp; Droits</t>
        </is>
      </c>
      <c r="C627" s="35" t="inlineStr">
        <is>
          <t>Immigration</t>
        </is>
      </c>
      <c r="D627" s="36" t="n">
        <v>45</v>
      </c>
      <c r="E627" s="36" t="inlineStr">
        <is>
          <t>G</t>
        </is>
      </c>
      <c r="F627" s="35" t="inlineStr">
        <is>
          <t>RTS critique des investissements bancaires controversés, soulignant violations des droits humains.</t>
        </is>
      </c>
      <c r="G627" s="36" t="inlineStr">
        <is>
          <t>Oui</t>
        </is>
      </c>
      <c r="H627" s="35" t="inlineStr">
        <is>
          <t>Media manque nuance sur positions BNS, malgré informations propres.</t>
        </is>
      </c>
      <c r="I627" s="36" t="n">
        <v>1</v>
      </c>
      <c r="J627" s="36" t="n">
        <v>9</v>
      </c>
      <c r="K627" s="74">
        <f>IFERROR(I627/J627,0)</f>
        <v/>
      </c>
      <c r="L627" s="36" t="n">
        <v>128</v>
      </c>
      <c r="M627" s="36" t="n">
        <v>3555</v>
      </c>
      <c r="N627" s="36" t="n">
        <v>55295</v>
      </c>
      <c r="O627" s="35" t="inlineStr">
        <is>
          <t>Video</t>
        </is>
      </c>
    </row>
    <row r="628" ht="13.5" customHeight="1" s="109">
      <c r="A628" s="72" t="inlineStr">
        <is>
          <t>https://www.instagram.com/p/DUXflQFiB1i/</t>
        </is>
      </c>
      <c r="B628" s="72" t="inlineStr">
        <is>
          <t>Securite &amp; Justice</t>
        </is>
      </c>
      <c r="C628" s="72" t="inlineStr">
        <is>
          <t>Justice</t>
        </is>
      </c>
      <c r="D628" s="73" t="n">
        <v>48</v>
      </c>
      <c r="E628" s="73" t="inlineStr">
        <is>
          <t>N</t>
        </is>
      </c>
      <c r="F628" s="72" t="inlineStr">
        <is>
          <t>Média public, factuel, couverture internationale équilibrée d'une enquête.</t>
        </is>
      </c>
      <c r="G628" s="73" t="inlineStr">
        <is>
          <t>Non</t>
        </is>
      </c>
      <c r="H628" s="72" t="n"/>
      <c r="I628" s="73" t="n">
        <v>0</v>
      </c>
      <c r="J628" s="73" t="n">
        <v>8</v>
      </c>
      <c r="K628" s="74">
        <f>IFERROR(I628/J628,0)</f>
        <v/>
      </c>
      <c r="L628" s="73" t="n">
        <v>227</v>
      </c>
      <c r="M628" s="73" t="n">
        <v>7884</v>
      </c>
      <c r="N628" s="73" t="n">
        <v>0</v>
      </c>
      <c r="O628" s="72" t="inlineStr">
        <is>
          <t>Image_Carrousel</t>
        </is>
      </c>
    </row>
    <row r="629" ht="13.5" customHeight="1" s="109">
      <c r="A629" s="35" t="inlineStr">
        <is>
          <t>https://www.instagram.com/p/DUZ9Zs8j-4K/</t>
        </is>
      </c>
      <c r="B629" s="35" t="inlineStr">
        <is>
          <t>Culture &amp; Loisirs</t>
        </is>
      </c>
      <c r="C629" s="35" t="inlineStr">
        <is>
          <t>Arts</t>
        </is>
      </c>
      <c r="D629" s="36" t="n">
        <v>50</v>
      </c>
      <c r="E629" s="36" t="inlineStr">
        <is>
          <t>N</t>
        </is>
      </c>
      <c r="F629" s="35" t="inlineStr">
        <is>
          <t>RTSinfo, média public, rapporte un fait culturel de manière neutre et factuelle.</t>
        </is>
      </c>
      <c r="G629" s="36" t="inlineStr">
        <is>
          <t>Non</t>
        </is>
      </c>
      <c r="H629" s="35" t="inlineStr">
        <is>
          <t>Aucun commentaire ne critique spécifiquement le média.</t>
        </is>
      </c>
      <c r="I629" s="36" t="n">
        <v>0</v>
      </c>
      <c r="J629" s="36" t="n">
        <v>8</v>
      </c>
      <c r="K629" s="74">
        <f>IFERROR(I629/J629,0)</f>
        <v/>
      </c>
      <c r="L629" s="36" t="n">
        <v>12</v>
      </c>
      <c r="M629" s="36" t="n">
        <v>1468</v>
      </c>
      <c r="N629" s="36" t="n">
        <v>0</v>
      </c>
      <c r="O629" s="35" t="inlineStr">
        <is>
          <t>Image_Carrousel</t>
        </is>
      </c>
    </row>
    <row r="630" ht="13.5" customHeight="1" s="109">
      <c r="A630" s="72" t="inlineStr">
        <is>
          <t>https://www.instagram.com/p/DUXYn8rDx8Z/</t>
        </is>
      </c>
      <c r="B630" s="72" t="inlineStr">
        <is>
          <t>Societe &amp; Droits</t>
        </is>
      </c>
      <c r="C630" s="72" t="inlineStr">
        <is>
          <t>Faits de societe</t>
        </is>
      </c>
      <c r="D630" s="73" t="n">
        <v>45</v>
      </c>
      <c r="E630" s="73" t="inlineStr">
        <is>
          <t>G</t>
        </is>
      </c>
      <c r="F630" s="72" t="inlineStr">
        <is>
          <t>RTS, service public, vise neutralité mais perçu légèrement à gauche.</t>
        </is>
      </c>
      <c r="G630" s="73" t="inlineStr">
        <is>
          <t>Oui</t>
        </is>
      </c>
      <c r="H630" s="72" t="inlineStr">
        <is>
          <t>Critique d'erreur d'image et de choix de mot.</t>
        </is>
      </c>
      <c r="I630" s="73" t="n">
        <v>2</v>
      </c>
      <c r="J630" s="73" t="n">
        <v>8</v>
      </c>
      <c r="K630" s="74">
        <f>IFERROR(I630/J630,0)</f>
        <v/>
      </c>
      <c r="L630" s="73" t="n">
        <v>73</v>
      </c>
      <c r="M630" s="73" t="n">
        <v>11119</v>
      </c>
      <c r="N630" s="73" t="n">
        <v>0</v>
      </c>
      <c r="O630" s="72" t="inlineStr">
        <is>
          <t>Image_Carrousel</t>
        </is>
      </c>
    </row>
    <row r="631" ht="13.5" customHeight="1" s="109">
      <c r="A631" s="35" t="inlineStr">
        <is>
          <t>https://www.instagram.com/p/DUYlClYjM1i/</t>
        </is>
      </c>
      <c r="B631" s="35" t="inlineStr">
        <is>
          <t>Economie &amp; Travail</t>
        </is>
      </c>
      <c r="C631" s="35" t="inlineStr">
        <is>
          <t>Consommation</t>
        </is>
      </c>
      <c r="D631" s="36" t="n">
        <v>45</v>
      </c>
      <c r="E631" s="36" t="inlineStr">
        <is>
          <t>N</t>
        </is>
      </c>
      <c r="F631" s="35" t="inlineStr">
        <is>
          <t>Média public généraliste, couvre sujets de société, consommation et culture. Approche équilibrée.</t>
        </is>
      </c>
      <c r="G631" s="36" t="inlineStr">
        <is>
          <t>Non</t>
        </is>
      </c>
      <c r="H631" s="35" t="n"/>
      <c r="I631" s="36" t="n">
        <v>0</v>
      </c>
      <c r="J631" s="36" t="n">
        <v>5</v>
      </c>
      <c r="K631" s="74">
        <f>IFERROR(I631/J631,0)</f>
        <v/>
      </c>
      <c r="L631" s="36" t="n">
        <v>23</v>
      </c>
      <c r="M631" s="36" t="n">
        <v>2861</v>
      </c>
      <c r="N631" s="36" t="n">
        <v>0</v>
      </c>
      <c r="O631" s="35" t="inlineStr">
        <is>
          <t>Image_Carrousel</t>
        </is>
      </c>
    </row>
    <row r="632" ht="13.5" customHeight="1" s="109">
      <c r="A632" s="72" t="inlineStr">
        <is>
          <t>https://www.instagram.com/p/DUVwV1LDlok/</t>
        </is>
      </c>
      <c r="B632" s="72" t="inlineStr">
        <is>
          <t>Societe &amp; Droits</t>
        </is>
      </c>
      <c r="C632" s="72" t="inlineStr">
        <is>
          <t>Immigration</t>
        </is>
      </c>
      <c r="D632" s="73" t="n">
        <v>45</v>
      </c>
      <c r="E632" s="73" t="inlineStr">
        <is>
          <t>N</t>
        </is>
      </c>
      <c r="F632" s="72" t="inlineStr">
        <is>
          <t>RTS, média public, vise neutralité; article basé sur dépêche AFP, factuel.</t>
        </is>
      </c>
      <c r="G632" s="73" t="inlineStr">
        <is>
          <t>Non</t>
        </is>
      </c>
      <c r="H632" s="72" t="n"/>
      <c r="I632" s="73" t="n">
        <v>0</v>
      </c>
      <c r="J632" s="73" t="n">
        <v>5</v>
      </c>
      <c r="K632" s="74">
        <f>IFERROR(I632/J632,0)</f>
        <v/>
      </c>
      <c r="L632" s="73" t="n">
        <v>76</v>
      </c>
      <c r="M632" s="73" t="n">
        <v>8466</v>
      </c>
      <c r="N632" s="73" t="n">
        <v>0</v>
      </c>
      <c r="O632" s="72" t="inlineStr">
        <is>
          <t>Image_Carrousel</t>
        </is>
      </c>
    </row>
    <row r="633" ht="13.5" customHeight="1" s="109">
      <c r="A633" s="35" t="inlineStr">
        <is>
          <t>https://www.instagram.com/p/DUWT9UcCGPi/</t>
        </is>
      </c>
      <c r="B633" s="35" t="inlineStr">
        <is>
          <t>Securite &amp; Justice</t>
        </is>
      </c>
      <c r="C633" s="35" t="inlineStr">
        <is>
          <t>Justice</t>
        </is>
      </c>
      <c r="D633" s="36" t="n">
        <v>35</v>
      </c>
      <c r="E633" s="36" t="inlineStr">
        <is>
          <t>G</t>
        </is>
      </c>
      <c r="F633" s="35" t="inlineStr">
        <is>
          <t>Mise en lumière des revendications et conditions de détention; langage inclusif.</t>
        </is>
      </c>
      <c r="G633" s="36" t="inlineStr">
        <is>
          <t>Oui</t>
        </is>
      </c>
      <c r="H633" s="35" t="inlineStr">
        <is>
          <t>Un commentaire critique le terme 'incident' pour 'revendications'.</t>
        </is>
      </c>
      <c r="I633" s="36" t="n">
        <v>1</v>
      </c>
      <c r="J633" s="36" t="n">
        <v>3</v>
      </c>
      <c r="K633" s="74">
        <f>IFERROR(I633/J633,0)</f>
        <v/>
      </c>
      <c r="L633" s="36" t="n">
        <v>187</v>
      </c>
      <c r="M633" s="36" t="n">
        <v>4230</v>
      </c>
      <c r="N633" s="36" t="n">
        <v>0</v>
      </c>
      <c r="O633" s="35" t="inlineStr">
        <is>
          <t>Image_Carrousel</t>
        </is>
      </c>
    </row>
    <row r="634" ht="13.5" customHeight="1" s="109">
      <c r="A634" s="72" t="inlineStr">
        <is>
          <t>https://www.instagram.com/p/DUVj4XYjo73/</t>
        </is>
      </c>
      <c r="B634" s="72" t="inlineStr">
        <is>
          <t>Culture &amp; Loisirs</t>
        </is>
      </c>
      <c r="C634" s="72" t="inlineStr">
        <is>
          <t>Medias</t>
        </is>
      </c>
      <c r="D634" s="73" t="n">
        <v>50</v>
      </c>
      <c r="E634" s="73" t="inlineStr">
        <is>
          <t>N</t>
        </is>
      </c>
      <c r="F634" s="72" t="inlineStr">
        <is>
          <t>Média de service public, reportage culturel factuel, sans biais politique ni idéologique.</t>
        </is>
      </c>
      <c r="G634" s="73" t="inlineStr">
        <is>
          <t>Non</t>
        </is>
      </c>
      <c r="H634" s="72" t="inlineStr">
        <is>
          <t>Aucun commentaire ne critique le média ou son traitement de l'information.</t>
        </is>
      </c>
      <c r="I634" s="73" t="n">
        <v>0</v>
      </c>
      <c r="J634" s="73" t="n">
        <v>6</v>
      </c>
      <c r="K634" s="74">
        <f>IFERROR(I634/J634,0)</f>
        <v/>
      </c>
      <c r="L634" s="73" t="n">
        <v>7</v>
      </c>
      <c r="M634" s="73" t="n">
        <v>3224</v>
      </c>
      <c r="N634" s="73" t="n">
        <v>0</v>
      </c>
      <c r="O634" s="72" t="inlineStr">
        <is>
          <t>Image_Carrousel</t>
        </is>
      </c>
    </row>
    <row r="635" ht="13.5" customHeight="1" s="109">
      <c r="A635" s="35" t="inlineStr">
        <is>
          <t>https://www.instagram.com/p/DUVdBbojCif/</t>
        </is>
      </c>
      <c r="B635" s="35" t="inlineStr">
        <is>
          <t>Politique &amp; Institutions</t>
        </is>
      </c>
      <c r="C635" s="35" t="inlineStr">
        <is>
          <t>Autorites</t>
        </is>
      </c>
      <c r="D635" s="36" t="n">
        <v>45</v>
      </c>
      <c r="E635" s="36" t="inlineStr">
        <is>
          <t>N</t>
        </is>
      </c>
      <c r="F635" s="35" t="inlineStr">
        <is>
          <t>RTS, média public suisse, réputation neutre, légèrement gauche.</t>
        </is>
      </c>
      <c r="G635" s="36" t="inlineStr">
        <is>
          <t>Non</t>
        </is>
      </c>
      <c r="H635" s="35" t="n"/>
      <c r="I635" s="36" t="n">
        <v>0</v>
      </c>
      <c r="J635" s="36" t="n">
        <v>3</v>
      </c>
      <c r="K635" s="74">
        <f>IFERROR(I635/J635,0)</f>
        <v/>
      </c>
      <c r="L635" s="36" t="n">
        <v>98</v>
      </c>
      <c r="M635" s="36" t="n">
        <v>4558</v>
      </c>
      <c r="N635" s="36" t="n">
        <v>0</v>
      </c>
      <c r="O635" s="35" t="inlineStr">
        <is>
          <t>Image_Carrousel</t>
        </is>
      </c>
    </row>
    <row r="636" ht="13.5" customHeight="1" s="109">
      <c r="A636" s="72" t="inlineStr">
        <is>
          <t>https://www.instagram.com/p/DUVWR_jiKYU/</t>
        </is>
      </c>
      <c r="B636" s="72" t="inlineStr">
        <is>
          <t>Environnement &amp; Nature</t>
        </is>
      </c>
      <c r="C636" s="72" t="inlineStr">
        <is>
          <t>Climat / Ecologie</t>
        </is>
      </c>
      <c r="D636" s="73" t="n">
        <v>45</v>
      </c>
      <c r="E636" s="73" t="inlineStr">
        <is>
          <t>N</t>
        </is>
      </c>
      <c r="F636" s="72" t="inlineStr">
        <is>
          <t>RTS, média de service public, visée neutre avec une légère sensibilité.</t>
        </is>
      </c>
      <c r="G636" s="73" t="inlineStr">
        <is>
          <t>Oui</t>
        </is>
      </c>
      <c r="H636" s="72" t="inlineStr">
        <is>
          <t>Crédibilité remise en question, précision des chiffres, complotisme.</t>
        </is>
      </c>
      <c r="I636" s="73" t="n">
        <v>3</v>
      </c>
      <c r="J636" s="73" t="n">
        <v>9</v>
      </c>
      <c r="K636" s="74">
        <f>IFERROR(I636/J636,0)</f>
        <v/>
      </c>
      <c r="L636" s="73" t="n">
        <v>87</v>
      </c>
      <c r="M636" s="73" t="n">
        <v>2921</v>
      </c>
      <c r="N636" s="73" t="n">
        <v>43356</v>
      </c>
      <c r="O636" s="72" t="inlineStr">
        <is>
          <t>Video</t>
        </is>
      </c>
    </row>
    <row r="637" ht="13.5" customHeight="1" s="109">
      <c r="A637" s="35" t="inlineStr">
        <is>
          <t>https://www.instagram.com/p/DUVL1n_Abiz/</t>
        </is>
      </c>
      <c r="B637" s="35" t="inlineStr">
        <is>
          <t>Securite &amp; Justice</t>
        </is>
      </c>
      <c r="C637" s="35" t="inlineStr">
        <is>
          <t>Ordre public</t>
        </is>
      </c>
      <c r="D637" s="36" t="n">
        <v>50</v>
      </c>
      <c r="E637" s="36" t="inlineStr">
        <is>
          <t>N</t>
        </is>
      </c>
      <c r="F637" s="35" t="inlineStr">
        <is>
          <t>Information factuelle sur un test d'alerte, rôle de service public, sans opinion ni parti pris.</t>
        </is>
      </c>
      <c r="G637" s="36" t="inlineStr">
        <is>
          <t>Non</t>
        </is>
      </c>
      <c r="H637" s="35" t="n"/>
      <c r="I637" s="36" t="n">
        <v>0</v>
      </c>
      <c r="J637" s="36" t="n">
        <v>5</v>
      </c>
      <c r="K637" s="74">
        <f>IFERROR(I637/J637,0)</f>
        <v/>
      </c>
      <c r="L637" s="36" t="n">
        <v>28</v>
      </c>
      <c r="M637" s="36" t="n">
        <v>10506</v>
      </c>
      <c r="N637" s="36" t="n">
        <v>0</v>
      </c>
      <c r="O637" s="35" t="inlineStr">
        <is>
          <t>Image_Carrousel</t>
        </is>
      </c>
    </row>
    <row r="638" ht="13.5" customHeight="1" s="109">
      <c r="A638" s="72" t="inlineStr">
        <is>
          <t>https://www.instagram.com/p/DUWNE0zGD5p/</t>
        </is>
      </c>
      <c r="B638" s="72" t="inlineStr">
        <is>
          <t>Securite &amp; Justice</t>
        </is>
      </c>
      <c r="C638" s="72" t="inlineStr">
        <is>
          <t>Activites de Police</t>
        </is>
      </c>
      <c r="D638" s="73" t="n">
        <v>25</v>
      </c>
      <c r="E638" s="73" t="inlineStr">
        <is>
          <t>G</t>
        </is>
      </c>
      <c r="F638" s="72" t="inlineStr">
        <is>
          <t>RTS, média public, met en lumière les biais discriminatoires et la nécessité de réforme.</t>
        </is>
      </c>
      <c r="G638" s="73" t="inlineStr">
        <is>
          <t>Non</t>
        </is>
      </c>
      <c r="H638" s="72" t="n"/>
      <c r="I638" s="73" t="n">
        <v>0</v>
      </c>
      <c r="J638" s="73" t="n">
        <v>4</v>
      </c>
      <c r="K638" s="74">
        <f>IFERROR(I638/J638,0)</f>
        <v/>
      </c>
      <c r="L638" s="73" t="n">
        <v>188</v>
      </c>
      <c r="M638" s="73" t="n">
        <v>6328</v>
      </c>
      <c r="N638" s="73" t="n">
        <v>0</v>
      </c>
      <c r="O638" s="72" t="inlineStr">
        <is>
          <t>Image_Carrousel</t>
        </is>
      </c>
    </row>
    <row r="639" ht="13.5" customHeight="1" s="109">
      <c r="A639" s="35" t="inlineStr">
        <is>
          <t>https://www.instagram.com/p/DUY8QaBjUw0/</t>
        </is>
      </c>
      <c r="B639" s="35" t="inlineStr">
        <is>
          <t>Securite &amp; Justice</t>
        </is>
      </c>
      <c r="C639" s="35" t="inlineStr">
        <is>
          <t>Ordre public</t>
        </is>
      </c>
      <c r="D639" s="36" t="n">
        <v>45</v>
      </c>
      <c r="E639" s="36" t="inlineStr">
        <is>
          <t>N</t>
        </is>
      </c>
      <c r="F639" s="35" t="inlineStr">
        <is>
          <t>Rapportage factuel sur un crime, l'intervention policière et l'aide aux victimes.</t>
        </is>
      </c>
      <c r="G639" s="36" t="inlineStr">
        <is>
          <t>Non</t>
        </is>
      </c>
      <c r="H639" s="35" t="n"/>
      <c r="I639" s="36" t="n">
        <v>0</v>
      </c>
      <c r="J639" s="36" t="n">
        <v>3</v>
      </c>
      <c r="K639" s="74">
        <f>IFERROR(I639/J639,0)</f>
        <v/>
      </c>
      <c r="L639" s="36" t="n">
        <v>100</v>
      </c>
      <c r="M639" s="36" t="n">
        <v>7127</v>
      </c>
      <c r="N639" s="36" t="n">
        <v>0</v>
      </c>
      <c r="O639" s="35" t="inlineStr">
        <is>
          <t>Image_Carrousel</t>
        </is>
      </c>
    </row>
    <row r="640" ht="13.5" customHeight="1" s="109">
      <c r="A640" s="72" t="inlineStr">
        <is>
          <t>https://www.instagram.com/p/DUWGSwHDM3Z/</t>
        </is>
      </c>
      <c r="B640" s="72" t="inlineStr">
        <is>
          <t>Environnement &amp; Nature</t>
        </is>
      </c>
      <c r="C640" s="72" t="inlineStr">
        <is>
          <t>Climat / Ecologie</t>
        </is>
      </c>
      <c r="D640" s="73" t="n">
        <v>35</v>
      </c>
      <c r="E640" s="73" t="inlineStr">
        <is>
          <t>G</t>
        </is>
      </c>
      <c r="F640" s="72" t="inlineStr">
        <is>
          <t>Média de service public, factuel, utilise une écriture inclusive.</t>
        </is>
      </c>
      <c r="G640" s="73" t="inlineStr">
        <is>
          <t>Oui</t>
        </is>
      </c>
      <c r="H640" s="72" t="inlineStr">
        <is>
          <t>Certains critiquent le manque d'infos sur la cause réelle (théorie complotiste).</t>
        </is>
      </c>
      <c r="I640" s="73" t="n">
        <v>1</v>
      </c>
      <c r="J640" s="73" t="n">
        <v>9</v>
      </c>
      <c r="K640" s="74">
        <f>IFERROR(I640/J640,0)</f>
        <v/>
      </c>
      <c r="L640" s="73" t="n">
        <v>43</v>
      </c>
      <c r="M640" s="73" t="n">
        <v>3825</v>
      </c>
      <c r="N640" s="73" t="n">
        <v>95983</v>
      </c>
      <c r="O640" s="72" t="inlineStr">
        <is>
          <t>Video</t>
        </is>
      </c>
    </row>
    <row r="641" ht="13.5" customHeight="1" s="109">
      <c r="A641" s="35" t="inlineStr">
        <is>
          <t>https://www.instagram.com/p/DUV_XDyCCVS/</t>
        </is>
      </c>
      <c r="B641" s="35" t="inlineStr">
        <is>
          <t>Societe &amp; Droits</t>
        </is>
      </c>
      <c r="C641" s="35" t="inlineStr">
        <is>
          <t>Faits de societe</t>
        </is>
      </c>
      <c r="D641" s="36" t="n">
        <v>35</v>
      </c>
      <c r="E641" s="36" t="inlineStr">
        <is>
          <t>G</t>
        </is>
      </c>
      <c r="F641" s="35" t="inlineStr">
        <is>
          <t>RTSinfo rapporte une mesure préventive d'abus prise par l'Église catholique suisse.</t>
        </is>
      </c>
      <c r="G641" s="36" t="inlineStr">
        <is>
          <t>Non</t>
        </is>
      </c>
      <c r="H641" s="35" t="n"/>
      <c r="I641" s="36" t="n">
        <v>0</v>
      </c>
      <c r="J641" s="36" t="n">
        <v>6</v>
      </c>
      <c r="K641" s="74">
        <f>IFERROR(I641/J641,0)</f>
        <v/>
      </c>
      <c r="L641" s="36" t="n">
        <v>32</v>
      </c>
      <c r="M641" s="36" t="n">
        <v>1560</v>
      </c>
      <c r="N641" s="36" t="n">
        <v>0</v>
      </c>
      <c r="O641" s="35" t="inlineStr">
        <is>
          <t>Image_Carrousel</t>
        </is>
      </c>
    </row>
    <row r="642" ht="13.5" customHeight="1" s="109">
      <c r="A642" s="72" t="inlineStr">
        <is>
          <t>https://www.instagram.com/p/DUV4d2HDWLq/</t>
        </is>
      </c>
      <c r="B642" s="72" t="inlineStr">
        <is>
          <t>Culture &amp; Loisirs</t>
        </is>
      </c>
      <c r="C642" s="72" t="inlineStr">
        <is>
          <t>Arts</t>
        </is>
      </c>
      <c r="D642" s="73" t="n">
        <v>45</v>
      </c>
      <c r="E642" s="73" t="inlineStr">
        <is>
          <t>N</t>
        </is>
      </c>
      <c r="F642" s="72" t="inlineStr">
        <is>
          <t>RTS public; rapporte un sujet culturel soulignant une dimension progressiste sur la diversité.</t>
        </is>
      </c>
      <c r="G642" s="73" t="inlineStr">
        <is>
          <t>Non</t>
        </is>
      </c>
      <c r="H642" s="72" t="n"/>
      <c r="I642" s="73" t="n">
        <v>0</v>
      </c>
      <c r="J642" s="73" t="n">
        <v>9</v>
      </c>
      <c r="K642" s="74">
        <f>IFERROR(I642/J642,0)</f>
        <v/>
      </c>
      <c r="L642" s="73" t="n">
        <v>219</v>
      </c>
      <c r="M642" s="73" t="n">
        <v>36912</v>
      </c>
      <c r="N642" s="73" t="n">
        <v>0</v>
      </c>
      <c r="O642" s="72" t="inlineStr">
        <is>
          <t>Image_Carrousel</t>
        </is>
      </c>
    </row>
    <row r="643" ht="13.5" customHeight="1" s="109">
      <c r="A643" s="35" t="inlineStr">
        <is>
          <t>https://www.instagram.com/p/DUgu9UMFh9q/</t>
        </is>
      </c>
      <c r="B643" s="35" t="inlineStr">
        <is>
          <t>International</t>
        </is>
      </c>
      <c r="C643" s="35" t="inlineStr">
        <is>
          <t>Geopolitique</t>
        </is>
      </c>
      <c r="D643" s="36" t="n">
        <v>35</v>
      </c>
      <c r="E643" s="36" t="inlineStr">
        <is>
          <t>G</t>
        </is>
      </c>
      <c r="F643" s="35" t="inlineStr">
        <is>
          <t>Neutral report of election results by a public broadcaster, generally center-left.</t>
        </is>
      </c>
      <c r="G643" s="36" t="inlineStr">
        <is>
          <t>Non</t>
        </is>
      </c>
      <c r="H643" s="35" t="n"/>
      <c r="I643" s="36" t="n">
        <v>0</v>
      </c>
      <c r="J643" s="36" t="n">
        <v>2</v>
      </c>
      <c r="K643" s="74">
        <f>IFERROR(I643/J643,0)</f>
        <v/>
      </c>
      <c r="L643" s="36" t="n">
        <v>549</v>
      </c>
      <c r="M643" s="36" t="n">
        <v>13893</v>
      </c>
      <c r="N643" s="36" t="n">
        <v>0</v>
      </c>
      <c r="O643" s="35" t="inlineStr">
        <is>
          <t>Image_Carrousel</t>
        </is>
      </c>
    </row>
    <row r="644" ht="13.5" customHeight="1" s="109">
      <c r="A644" s="72" t="inlineStr">
        <is>
          <t>https://www.instagram.com/p/DUTRPNbDMix/</t>
        </is>
      </c>
      <c r="B644" s="72" t="inlineStr">
        <is>
          <t>Politique &amp; Institutions</t>
        </is>
      </c>
      <c r="C644" s="72" t="inlineStr">
        <is>
          <t>Autorites</t>
        </is>
      </c>
      <c r="D644" s="73" t="n">
        <v>50</v>
      </c>
      <c r="E644" s="73" t="inlineStr">
        <is>
          <t>N</t>
        </is>
      </c>
      <c r="F644" s="72" t="inlineStr">
        <is>
          <t>RTS est un media de service public, vise la neutralité et l'information factuelle.</t>
        </is>
      </c>
      <c r="G644" s="73" t="inlineStr">
        <is>
          <t>Non</t>
        </is>
      </c>
      <c r="H644" s="72" t="n"/>
      <c r="I644" s="73" t="n">
        <v>0</v>
      </c>
      <c r="J644" s="73" t="n">
        <v>8</v>
      </c>
      <c r="K644" s="74">
        <f>IFERROR(I644/J644,0)</f>
        <v/>
      </c>
      <c r="L644" s="73" t="n">
        <v>42</v>
      </c>
      <c r="M644" s="73" t="n">
        <v>5021</v>
      </c>
      <c r="N644" s="73" t="n">
        <v>0</v>
      </c>
      <c r="O644" s="72" t="inlineStr">
        <is>
          <t>Image_Carrousel</t>
        </is>
      </c>
    </row>
    <row r="645" ht="13.5" customHeight="1" s="109">
      <c r="A645" s="35" t="inlineStr">
        <is>
          <t>https://www.instagram.com/p/DUSw-X4Dldu/</t>
        </is>
      </c>
      <c r="B645" s="35" t="inlineStr">
        <is>
          <t>Environnement &amp; Nature</t>
        </is>
      </c>
      <c r="C645" s="35" t="inlineStr">
        <is>
          <t>Energie</t>
        </is>
      </c>
      <c r="D645" s="36" t="n">
        <v>40</v>
      </c>
      <c r="E645" s="36" t="inlineStr">
        <is>
          <t>N</t>
        </is>
      </c>
      <c r="F645" s="35" t="inlineStr">
        <is>
          <t>Reportage factuel sur une loi cantonale et le processus politique.</t>
        </is>
      </c>
      <c r="G645" s="36" t="inlineStr">
        <is>
          <t>Non</t>
        </is>
      </c>
      <c r="H645" s="35" t="n"/>
      <c r="I645" s="36" t="n">
        <v>0</v>
      </c>
      <c r="J645" s="36" t="n">
        <v>1</v>
      </c>
      <c r="K645" s="74">
        <f>IFERROR(I645/J645,0)</f>
        <v/>
      </c>
      <c r="L645" s="36" t="n">
        <v>42</v>
      </c>
      <c r="M645" s="36" t="n">
        <v>1079</v>
      </c>
      <c r="N645" s="36" t="n">
        <v>0</v>
      </c>
      <c r="O645" s="35" t="inlineStr">
        <is>
          <t>Image_Carrousel</t>
        </is>
      </c>
    </row>
    <row r="646" ht="13.5" customHeight="1" s="109">
      <c r="A646" s="72" t="inlineStr">
        <is>
          <t>https://www.instagram.com/p/DUTHSU2DTRG/</t>
        </is>
      </c>
      <c r="B646" s="72" t="inlineStr">
        <is>
          <t>Securite &amp; Justice</t>
        </is>
      </c>
      <c r="C646" s="72" t="inlineStr">
        <is>
          <t>Justice</t>
        </is>
      </c>
      <c r="D646" s="73" t="n">
        <v>45</v>
      </c>
      <c r="E646" s="73" t="inlineStr">
        <is>
          <t>N</t>
        </is>
      </c>
      <c r="F646" s="72" t="inlineStr">
        <is>
          <t>Fait rapporté objectivement, sans prise de position éditoriale marquée.</t>
        </is>
      </c>
      <c r="G646" s="73" t="inlineStr">
        <is>
          <t>Non</t>
        </is>
      </c>
      <c r="H646" s="72" t="n"/>
      <c r="I646" s="73" t="n">
        <v>0</v>
      </c>
      <c r="J646" s="73" t="n">
        <v>10</v>
      </c>
      <c r="K646" s="74">
        <f>IFERROR(I646/J646,0)</f>
        <v/>
      </c>
      <c r="L646" s="73" t="n">
        <v>53</v>
      </c>
      <c r="M646" s="73" t="n">
        <v>4052</v>
      </c>
      <c r="N646" s="73" t="n">
        <v>0</v>
      </c>
      <c r="O646" s="72" t="inlineStr">
        <is>
          <t>Image_Carrousel</t>
        </is>
      </c>
    </row>
    <row r="647" ht="13.5" customHeight="1" s="109">
      <c r="A647" s="35" t="inlineStr">
        <is>
          <t>https://www.instagram.com/p/DUVq0weAreO/</t>
        </is>
      </c>
      <c r="B647" s="35" t="inlineStr">
        <is>
          <t>Culture &amp; Loisirs</t>
        </is>
      </c>
      <c r="C647" s="35" t="inlineStr">
        <is>
          <t>Sport</t>
        </is>
      </c>
      <c r="D647" s="36" t="n">
        <v>45</v>
      </c>
      <c r="E647" s="36" t="inlineStr">
        <is>
          <t>N</t>
        </is>
      </c>
      <c r="F647" s="35" t="inlineStr">
        <is>
          <t>RTS, média public, ton factuel et célébratif d'une performance sportive suisse.</t>
        </is>
      </c>
      <c r="G647" s="36" t="inlineStr">
        <is>
          <t>Non</t>
        </is>
      </c>
      <c r="H647" s="35" t="n"/>
      <c r="I647" s="36" t="n">
        <v>0</v>
      </c>
      <c r="J647" s="36" t="n">
        <v>10</v>
      </c>
      <c r="K647" s="74">
        <f>IFERROR(I647/J647,0)</f>
        <v/>
      </c>
      <c r="L647" s="36" t="n">
        <v>78</v>
      </c>
      <c r="M647" s="36" t="n">
        <v>13964</v>
      </c>
      <c r="N647" s="36" t="n">
        <v>131159</v>
      </c>
      <c r="O647" s="35" t="inlineStr">
        <is>
          <t>Video</t>
        </is>
      </c>
    </row>
    <row r="648" ht="13.5" customHeight="1" s="109">
      <c r="A648" s="72" t="inlineStr">
        <is>
          <t>https://www.instagram.com/p/DUYx5flAUjV/</t>
        </is>
      </c>
      <c r="B648" s="72" t="inlineStr">
        <is>
          <t>Sante</t>
        </is>
      </c>
      <c r="C648" s="72" t="inlineStr">
        <is>
          <t>Sante publique</t>
        </is>
      </c>
      <c r="D648" s="73" t="n">
        <v>45</v>
      </c>
      <c r="E648" s="73" t="inlineStr">
        <is>
          <t>N</t>
        </is>
      </c>
      <c r="F648" s="72" t="inlineStr">
        <is>
          <t>RTS informe sur un problème de santé publique et de coût pour les familles.</t>
        </is>
      </c>
      <c r="G648" s="73" t="inlineStr">
        <is>
          <t>Non</t>
        </is>
      </c>
      <c r="H648" s="72" t="inlineStr">
        <is>
          <t>Aucun commentaire ne critique le média directement.</t>
        </is>
      </c>
      <c r="I648" s="73" t="n">
        <v>0</v>
      </c>
      <c r="J648" s="73" t="n">
        <v>6</v>
      </c>
      <c r="K648" s="74">
        <f>IFERROR(I648/J648,0)</f>
        <v/>
      </c>
      <c r="L648" s="73" t="n">
        <v>101</v>
      </c>
      <c r="M648" s="73" t="n">
        <v>2257</v>
      </c>
      <c r="N648" s="73" t="n">
        <v>91022</v>
      </c>
      <c r="O648" s="72" t="inlineStr">
        <is>
          <t>Video</t>
        </is>
      </c>
    </row>
    <row r="649" ht="13.5" customHeight="1" s="109">
      <c r="A649" s="35" t="inlineStr">
        <is>
          <t>https://www.instagram.com/p/DUUz2GWkoPl/</t>
        </is>
      </c>
      <c r="B649" s="35" t="inlineStr">
        <is>
          <t>Environnement &amp; Nature</t>
        </is>
      </c>
      <c r="C649" s="35" t="inlineStr">
        <is>
          <t>Climat / Ecologie</t>
        </is>
      </c>
      <c r="D649" s="36" t="n">
        <v>40</v>
      </c>
      <c r="E649" s="36" t="inlineStr">
        <is>
          <t>N</t>
        </is>
      </c>
      <c r="F649" s="35" t="inlineStr">
        <is>
          <t>Média de service public factuel, souvent perçu légèrement à gauche ou au centre.</t>
        </is>
      </c>
      <c r="G649" s="36" t="inlineStr">
        <is>
          <t>Non</t>
        </is>
      </c>
      <c r="H649" s="35" t="inlineStr">
        <is>
          <t>Aucun commentaire ne critique directement le média.</t>
        </is>
      </c>
      <c r="I649" s="36" t="n">
        <v>0</v>
      </c>
      <c r="J649" s="36" t="n">
        <v>10</v>
      </c>
      <c r="K649" s="74">
        <f>IFERROR(I649/J649,0)</f>
        <v/>
      </c>
      <c r="L649" s="36" t="n">
        <v>319</v>
      </c>
      <c r="M649" s="36" t="n">
        <v>3727</v>
      </c>
      <c r="N649" s="36" t="n">
        <v>0</v>
      </c>
      <c r="O649" s="35" t="inlineStr">
        <is>
          <t>Image_Carrousel</t>
        </is>
      </c>
    </row>
    <row r="650" ht="13.5" customHeight="1" s="109">
      <c r="A650" s="72" t="inlineStr">
        <is>
          <t>https://www.instagram.com/p/DUS4N9cARUL/</t>
        </is>
      </c>
      <c r="B650" s="72" t="inlineStr">
        <is>
          <t>Securite &amp; Justice</t>
        </is>
      </c>
      <c r="C650" s="72" t="inlineStr">
        <is>
          <t>Justice</t>
        </is>
      </c>
      <c r="D650" s="73" t="n">
        <v>50</v>
      </c>
      <c r="E650" s="73" t="inlineStr">
        <is>
          <t>N</t>
        </is>
      </c>
      <c r="F650" s="72" t="inlineStr">
        <is>
          <t>RTS est un média de service public, rapportant les faits de manière neutre.</t>
        </is>
      </c>
      <c r="G650" s="73" t="inlineStr">
        <is>
          <t>Non</t>
        </is>
      </c>
      <c r="H650" s="72" t="n"/>
      <c r="I650" s="73" t="n">
        <v>0</v>
      </c>
      <c r="J650" s="73" t="n">
        <v>8</v>
      </c>
      <c r="K650" s="74">
        <f>IFERROR(I650/J650,0)</f>
        <v/>
      </c>
      <c r="L650" s="73" t="n">
        <v>396</v>
      </c>
      <c r="M650" s="73" t="n">
        <v>10704</v>
      </c>
      <c r="N650" s="73" t="n">
        <v>0</v>
      </c>
      <c r="O650" s="72" t="inlineStr">
        <is>
          <t>Image_Carrousel</t>
        </is>
      </c>
    </row>
    <row r="651" ht="13.5" customHeight="1" s="109">
      <c r="A651" s="35" t="inlineStr">
        <is>
          <t>https://www.instagram.com/p/DUSV4XCDWyw/</t>
        </is>
      </c>
      <c r="B651" s="35" t="inlineStr">
        <is>
          <t>Environnement &amp; Nature</t>
        </is>
      </c>
      <c r="C651" s="35" t="inlineStr">
        <is>
          <t>Climat / Ecologie</t>
        </is>
      </c>
      <c r="D651" s="36" t="n">
        <v>40</v>
      </c>
      <c r="E651" s="36" t="inlineStr">
        <is>
          <t>N</t>
        </is>
      </c>
      <c r="F651" s="35" t="inlineStr">
        <is>
          <t>Média public suisse, souvent perçu comme centre-gauche et neutre.</t>
        </is>
      </c>
      <c r="G651" s="36" t="inlineStr">
        <is>
          <t>Non</t>
        </is>
      </c>
      <c r="H651" s="35" t="n"/>
      <c r="I651" s="36" t="n">
        <v>0</v>
      </c>
      <c r="J651" s="36" t="n">
        <v>9</v>
      </c>
      <c r="K651" s="74">
        <f>IFERROR(I651/J651,0)</f>
        <v/>
      </c>
      <c r="L651" s="36" t="n">
        <v>25</v>
      </c>
      <c r="M651" s="36" t="n">
        <v>3538</v>
      </c>
      <c r="N651" s="36" t="n">
        <v>0</v>
      </c>
      <c r="O651" s="35" t="inlineStr">
        <is>
          <t>Image_Carrousel</t>
        </is>
      </c>
    </row>
    <row r="652" ht="13.5" customHeight="1" s="109">
      <c r="A652" s="72" t="inlineStr">
        <is>
          <t>https://www.instagram.com/p/DUSoB82jksQ/</t>
        </is>
      </c>
      <c r="B652" s="72" t="inlineStr">
        <is>
          <t>Societe &amp; Droits</t>
        </is>
      </c>
      <c r="C652" s="72" t="inlineStr">
        <is>
          <t>Faits de societe</t>
        </is>
      </c>
      <c r="D652" s="73" t="n">
        <v>50</v>
      </c>
      <c r="E652" s="73" t="inlineStr">
        <is>
          <t>N</t>
        </is>
      </c>
      <c r="F652" s="72" t="inlineStr">
        <is>
          <t>Média de service public, reportage factuel et neutre sans prise de position explicite.</t>
        </is>
      </c>
      <c r="G652" s="73" t="inlineStr">
        <is>
          <t>Oui</t>
        </is>
      </c>
      <c r="H652" s="72" t="inlineStr">
        <is>
          <t>Accusation de complotisme envers le média (RTS).</t>
        </is>
      </c>
      <c r="I652" s="73" t="n">
        <v>1</v>
      </c>
      <c r="J652" s="73" t="n">
        <v>7</v>
      </c>
      <c r="K652" s="74">
        <f>IFERROR(I652/J652,0)</f>
        <v/>
      </c>
      <c r="L652" s="73" t="n">
        <v>236</v>
      </c>
      <c r="M652" s="73" t="n">
        <v>8123</v>
      </c>
      <c r="N652" s="73" t="n">
        <v>0</v>
      </c>
      <c r="O652" s="72" t="inlineStr">
        <is>
          <t>Image_Carrousel</t>
        </is>
      </c>
    </row>
    <row r="653" ht="13.5" customHeight="1" s="109">
      <c r="A653" s="35" t="inlineStr">
        <is>
          <t>https://www.instagram.com/p/DUQMjrAgeJb/</t>
        </is>
      </c>
      <c r="B653" s="35" t="inlineStr">
        <is>
          <t>Sante</t>
        </is>
      </c>
      <c r="C653" s="35" t="inlineStr">
        <is>
          <t>Sante publique</t>
        </is>
      </c>
      <c r="D653" s="36" t="n">
        <v>50</v>
      </c>
      <c r="E653" s="36" t="inlineStr">
        <is>
          <t>N</t>
        </is>
      </c>
      <c r="F653" s="35" t="inlineStr">
        <is>
          <t>Information factuelle et neutre, basée sur des experts (ATS, Centre d'allergie Suisse).</t>
        </is>
      </c>
      <c r="G653" s="36" t="inlineStr">
        <is>
          <t>Non</t>
        </is>
      </c>
      <c r="H653" s="35" t="n"/>
      <c r="I653" s="36" t="n">
        <v>0</v>
      </c>
      <c r="J653" s="36" t="n">
        <v>5</v>
      </c>
      <c r="K653" s="74">
        <f>IFERROR(I653/J653,0)</f>
        <v/>
      </c>
      <c r="L653" s="36" t="n">
        <v>34</v>
      </c>
      <c r="M653" s="36" t="n">
        <v>5469</v>
      </c>
      <c r="N653" s="36" t="n">
        <v>0</v>
      </c>
      <c r="O653" s="35" t="inlineStr">
        <is>
          <t>Image_Carrousel</t>
        </is>
      </c>
    </row>
    <row r="654" ht="13.5" customHeight="1" s="109">
      <c r="A654" s="72" t="inlineStr">
        <is>
          <t>https://www.instagram.com/p/DURE97ODON8/</t>
        </is>
      </c>
      <c r="B654" s="72" t="inlineStr">
        <is>
          <t>Economie &amp; Travail</t>
        </is>
      </c>
      <c r="C654" s="72" t="inlineStr">
        <is>
          <t>Consommation</t>
        </is>
      </c>
      <c r="D654" s="73" t="n">
        <v>45</v>
      </c>
      <c r="E654" s="73" t="inlineStr">
        <is>
          <t>N</t>
        </is>
      </c>
      <c r="F654" s="72" t="inlineStr">
        <is>
          <t>RTS, service public, vise neutralité mais perçu légèrement centre-gauche.</t>
        </is>
      </c>
      <c r="G654" s="73" t="inlineStr">
        <is>
          <t>Non</t>
        </is>
      </c>
      <c r="H654" s="72" t="inlineStr">
        <is>
          <t>Aucun reproche au media</t>
        </is>
      </c>
      <c r="I654" s="73" t="n">
        <v>0</v>
      </c>
      <c r="J654" s="73" t="n">
        <v>9</v>
      </c>
      <c r="K654" s="74">
        <f>IFERROR(I654/J654,0)</f>
        <v/>
      </c>
      <c r="L654" s="73" t="n">
        <v>178</v>
      </c>
      <c r="M654" s="73" t="n">
        <v>4718</v>
      </c>
      <c r="N654" s="73" t="n">
        <v>0</v>
      </c>
      <c r="O654" s="72" t="inlineStr">
        <is>
          <t>Image_Carrousel</t>
        </is>
      </c>
    </row>
    <row r="655" ht="13.5" customHeight="1" s="109">
      <c r="A655" s="35" t="inlineStr">
        <is>
          <t>https://www.instagram.com/p/DUUtC1igPKf/</t>
        </is>
      </c>
      <c r="B655" s="35" t="inlineStr">
        <is>
          <t>Environnement &amp; Nature</t>
        </is>
      </c>
      <c r="C655" s="35" t="inlineStr">
        <is>
          <t>Climat / Ecologie</t>
        </is>
      </c>
      <c r="D655" s="36" t="n">
        <v>40</v>
      </c>
      <c r="E655" s="36" t="inlineStr">
        <is>
          <t>G</t>
        </is>
      </c>
      <c r="F655" s="35" t="inlineStr">
        <is>
          <t>Reportage factuel sur un événement naturel, ligne éditoriale service public.</t>
        </is>
      </c>
      <c r="G655" s="36" t="inlineStr">
        <is>
          <t>Non</t>
        </is>
      </c>
      <c r="H655" s="35" t="n"/>
      <c r="I655" s="36" t="n">
        <v>0</v>
      </c>
      <c r="J655" s="36" t="n">
        <v>10</v>
      </c>
      <c r="K655" s="74">
        <f>IFERROR(I655/J655,0)</f>
        <v/>
      </c>
      <c r="L655" s="36" t="n">
        <v>72</v>
      </c>
      <c r="M655" s="36" t="n">
        <v>6600</v>
      </c>
      <c r="N655" s="36" t="n">
        <v>159492</v>
      </c>
      <c r="O655" s="35" t="inlineStr">
        <is>
          <t>Video</t>
        </is>
      </c>
    </row>
    <row r="656" ht="13.5" customHeight="1" s="109">
      <c r="A656" s="72" t="inlineStr">
        <is>
          <t>https://www.instagram.com/p/DUSPAebkrER/</t>
        </is>
      </c>
      <c r="B656" s="72" t="inlineStr">
        <is>
          <t>Culture &amp; Loisirs</t>
        </is>
      </c>
      <c r="C656" s="72" t="inlineStr">
        <is>
          <t>Arts</t>
        </is>
      </c>
      <c r="D656" s="73" t="n">
        <v>40</v>
      </c>
      <c r="E656" s="73" t="inlineStr">
        <is>
          <t>N</t>
        </is>
      </c>
      <c r="F656" s="72" t="inlineStr">
        <is>
          <t>Média de service public, ton informatif, met en avant diversité et évolution des genres.</t>
        </is>
      </c>
      <c r="G656" s="73" t="inlineStr">
        <is>
          <t>Non</t>
        </is>
      </c>
      <c r="H656" s="72" t="n"/>
      <c r="I656" s="73" t="n">
        <v>0</v>
      </c>
      <c r="J656" s="73" t="n">
        <v>2</v>
      </c>
      <c r="K656" s="74">
        <f>IFERROR(I656/J656,0)</f>
        <v/>
      </c>
      <c r="L656" s="73" t="n">
        <v>27</v>
      </c>
      <c r="M656" s="73" t="n">
        <v>2520</v>
      </c>
      <c r="N656" s="73" t="n">
        <v>0</v>
      </c>
      <c r="O656" s="72" t="inlineStr">
        <is>
          <t>Image_Carrousel</t>
        </is>
      </c>
    </row>
    <row r="657" ht="13.5" customHeight="1" s="109">
      <c r="A657" s="35" t="inlineStr">
        <is>
          <t>https://www.instagram.com/p/DUSIN_kCdka/</t>
        </is>
      </c>
      <c r="B657" s="35" t="inlineStr">
        <is>
          <t>Culture &amp; Loisirs</t>
        </is>
      </c>
      <c r="C657" s="35" t="inlineStr">
        <is>
          <t>Sport</t>
        </is>
      </c>
      <c r="D657" s="36" t="n">
        <v>50</v>
      </c>
      <c r="E657" s="36" t="inlineStr">
        <is>
          <t>N</t>
        </is>
      </c>
      <c r="F657" s="35" t="inlineStr">
        <is>
          <t>Média de service public, cherche l'objectivité et l'information équilibrée sur le sport.</t>
        </is>
      </c>
      <c r="G657" s="36" t="inlineStr">
        <is>
          <t>Non</t>
        </is>
      </c>
      <c r="H657" s="35" t="n"/>
      <c r="I657" s="36" t="n">
        <v>0</v>
      </c>
      <c r="J657" s="36" t="n">
        <v>10</v>
      </c>
      <c r="K657" s="74">
        <f>IFERROR(I657/J657,0)</f>
        <v/>
      </c>
      <c r="L657" s="36" t="n">
        <v>30</v>
      </c>
      <c r="M657" s="36" t="n">
        <v>7196</v>
      </c>
      <c r="N657" s="36" t="n">
        <v>77085</v>
      </c>
      <c r="O657" s="35" t="inlineStr">
        <is>
          <t>Video</t>
        </is>
      </c>
    </row>
    <row r="658" ht="13.5" customHeight="1" s="109">
      <c r="A658" s="72" t="inlineStr">
        <is>
          <t>https://www.instagram.com/p/DUTTtiuD56K/</t>
        </is>
      </c>
      <c r="B658" s="72" t="inlineStr">
        <is>
          <t>Societe &amp; Droits</t>
        </is>
      </c>
      <c r="C658" s="72" t="inlineStr">
        <is>
          <t>Questions de Genre</t>
        </is>
      </c>
      <c r="D658" s="73" t="n">
        <v>45</v>
      </c>
      <c r="E658" s="73" t="inlineStr">
        <is>
          <t>N</t>
        </is>
      </c>
      <c r="F658" s="72" t="inlineStr">
        <is>
          <t>RTS informe factuellement sur un projet socialement inclusif pour seniors LGBTQIA+.</t>
        </is>
      </c>
      <c r="G658" s="73" t="inlineStr">
        <is>
          <t>Non</t>
        </is>
      </c>
      <c r="H658" s="72" t="n"/>
      <c r="I658" s="73" t="n">
        <v>0</v>
      </c>
      <c r="J658" s="73" t="n">
        <v>6</v>
      </c>
      <c r="K658" s="74">
        <f>IFERROR(I658/J658,0)</f>
        <v/>
      </c>
      <c r="L658" s="73" t="n">
        <v>341</v>
      </c>
      <c r="M658" s="73" t="n">
        <v>9329</v>
      </c>
      <c r="N658" s="73" t="n">
        <v>0</v>
      </c>
      <c r="O658" s="72" t="inlineStr">
        <is>
          <t>Image_Carrousel</t>
        </is>
      </c>
    </row>
    <row r="659" ht="13.5" customHeight="1" s="109">
      <c r="A659" s="35" t="inlineStr">
        <is>
          <t>https://www.instagram.com/p/DUS_MfDCM0I/</t>
        </is>
      </c>
      <c r="B659" s="35" t="inlineStr">
        <is>
          <t>Societe &amp; Droits</t>
        </is>
      </c>
      <c r="C659" s="35" t="inlineStr">
        <is>
          <t>Faits de societe</t>
        </is>
      </c>
      <c r="D659" s="36" t="n">
        <v>45</v>
      </c>
      <c r="E659" s="36" t="inlineStr">
        <is>
          <t>N</t>
        </is>
      </c>
      <c r="F659" s="35" t="inlineStr">
        <is>
          <t>Service public, explore un enjeu social complexe avec une approche de soutien et de réinsertion.</t>
        </is>
      </c>
      <c r="G659" s="36" t="inlineStr">
        <is>
          <t>Oui</t>
        </is>
      </c>
      <c r="H659" s="35" t="inlineStr">
        <is>
          <t>Un commentaire juge le reportage 'honteux' pour sa focalisation sur les auteurs.</t>
        </is>
      </c>
      <c r="I659" s="36" t="n">
        <v>1</v>
      </c>
      <c r="J659" s="36" t="n">
        <v>5</v>
      </c>
      <c r="K659" s="74">
        <f>IFERROR(I659/J659,0)</f>
        <v/>
      </c>
      <c r="L659" s="36" t="n">
        <v>67</v>
      </c>
      <c r="M659" s="36" t="n">
        <v>1552</v>
      </c>
      <c r="N659" s="36" t="n">
        <v>64149</v>
      </c>
      <c r="O659" s="35" t="inlineStr">
        <is>
          <t>Video</t>
        </is>
      </c>
    </row>
    <row r="660" ht="13.5" customHeight="1" s="109">
      <c r="A660" s="72" t="inlineStr">
        <is>
          <t>https://www.instagram.com/p/DUQJqayguEe/</t>
        </is>
      </c>
      <c r="B660" s="72" t="inlineStr">
        <is>
          <t>Culture &amp; Loisirs</t>
        </is>
      </c>
      <c r="C660" s="72" t="inlineStr">
        <is>
          <t>Sport</t>
        </is>
      </c>
      <c r="D660" s="73" t="n">
        <v>50</v>
      </c>
      <c r="E660" s="73" t="inlineStr">
        <is>
          <t>N</t>
        </is>
      </c>
      <c r="F660" s="72" t="inlineStr">
        <is>
          <t>Article factuel et neutre d'une agence de presse sur un événement sportif.</t>
        </is>
      </c>
      <c r="G660" s="73" t="inlineStr">
        <is>
          <t>Non</t>
        </is>
      </c>
      <c r="H660" s="72" t="n"/>
      <c r="I660" s="73" t="n">
        <v>0</v>
      </c>
      <c r="J660" s="73" t="n">
        <v>7</v>
      </c>
      <c r="K660" s="74">
        <f>IFERROR(I660/J660,0)</f>
        <v/>
      </c>
      <c r="L660" s="73" t="n">
        <v>27</v>
      </c>
      <c r="M660" s="73" t="n">
        <v>5358</v>
      </c>
      <c r="N660" s="73" t="n">
        <v>0</v>
      </c>
      <c r="O660" s="72" t="inlineStr">
        <is>
          <t>Image_Carrousel</t>
        </is>
      </c>
    </row>
    <row r="661" ht="13.5" customHeight="1" s="109">
      <c r="A661" s="35" t="inlineStr">
        <is>
          <t>https://www.instagram.com/p/DURDAuWmEu5/</t>
        </is>
      </c>
      <c r="B661" s="35" t="inlineStr">
        <is>
          <t>International</t>
        </is>
      </c>
      <c r="C661" s="35" t="inlineStr">
        <is>
          <t>Conflits</t>
        </is>
      </c>
      <c r="D661" s="36" t="n">
        <v>40</v>
      </c>
      <c r="E661" s="36" t="inlineStr">
        <is>
          <t>N</t>
        </is>
      </c>
      <c r="F661" s="35" t="inlineStr">
        <is>
          <t>Média public, met en lumière crises humanitaires négligées, critiquant priorités médiatiques.</t>
        </is>
      </c>
      <c r="G661" s="36" t="inlineStr">
        <is>
          <t>Oui</t>
        </is>
      </c>
      <c r="H661" s="35" t="inlineStr">
        <is>
          <t>Sélection médiatique restreinte aux conflits "intéressants", négligeant crises humanitaires.</t>
        </is>
      </c>
      <c r="I661" s="36" t="n">
        <v>2</v>
      </c>
      <c r="J661" s="36" t="n">
        <v>3</v>
      </c>
      <c r="K661" s="74">
        <f>IFERROR(I661/J661,0)</f>
        <v/>
      </c>
      <c r="L661" s="36" t="n">
        <v>33</v>
      </c>
      <c r="M661" s="36" t="n">
        <v>2587</v>
      </c>
      <c r="N661" s="36" t="n">
        <v>24278</v>
      </c>
      <c r="O661" s="35" t="inlineStr">
        <is>
          <t>Video</t>
        </is>
      </c>
    </row>
    <row r="662" ht="13.5" customHeight="1" s="109">
      <c r="A662" s="72" t="inlineStr">
        <is>
          <t>https://www.instagram.com/p/DURDi0WknQv/</t>
        </is>
      </c>
      <c r="B662" s="72" t="inlineStr">
        <is>
          <t>Sante</t>
        </is>
      </c>
      <c r="C662" s="72" t="inlineStr">
        <is>
          <t>Prevention</t>
        </is>
      </c>
      <c r="D662" s="73" t="n">
        <v>40</v>
      </c>
      <c r="E662" s="73" t="inlineStr">
        <is>
          <t>G</t>
        </is>
      </c>
      <c r="F662" s="72" t="inlineStr">
        <is>
          <t>Public service, informatif sur services sociaux et prévention, approche équilibrée.</t>
        </is>
      </c>
      <c r="G662" s="73" t="inlineStr">
        <is>
          <t>Non</t>
        </is>
      </c>
      <c r="H662" s="72" t="n"/>
      <c r="I662" s="73" t="n">
        <v>0</v>
      </c>
      <c r="J662" s="73" t="n">
        <v>6</v>
      </c>
      <c r="K662" s="74">
        <f>IFERROR(I662/J662,0)</f>
        <v/>
      </c>
      <c r="L662" s="73" t="n">
        <v>72</v>
      </c>
      <c r="M662" s="73" t="n">
        <v>2763</v>
      </c>
      <c r="N662" s="73" t="n">
        <v>0</v>
      </c>
      <c r="O662" s="72" t="inlineStr">
        <is>
          <t>Image_Carrousel</t>
        </is>
      </c>
    </row>
    <row r="663" ht="13.5" customHeight="1" s="109">
      <c r="A663" s="35" t="inlineStr">
        <is>
          <t>https://www.instagram.com/p/DUU6sXagkBl/</t>
        </is>
      </c>
      <c r="B663" s="35" t="inlineStr">
        <is>
          <t>Societe &amp; Droits</t>
        </is>
      </c>
      <c r="C663" s="35" t="inlineStr">
        <is>
          <t>Questions de Genre</t>
        </is>
      </c>
      <c r="D663" s="36" t="n">
        <v>25</v>
      </c>
      <c r="E663" s="36" t="inlineStr">
        <is>
          <t>G</t>
        </is>
      </c>
      <c r="F663" s="35" t="inlineStr">
        <is>
          <t>Le média dénonce la misogynie et la radicalisation, adoptant une posture progressiste.</t>
        </is>
      </c>
      <c r="G663" s="36" t="inlineStr">
        <is>
          <t>Oui</t>
        </is>
      </c>
      <c r="H663" s="35" t="inlineStr">
        <is>
          <t>Certains commentateurs trouvent le sujet ennuyeux ou voient un biais 'wokiste'.</t>
        </is>
      </c>
      <c r="I663" s="36" t="n">
        <v>2</v>
      </c>
      <c r="J663" s="36" t="n">
        <v>3</v>
      </c>
      <c r="K663" s="74">
        <f>IFERROR(I663/J663,0)</f>
        <v/>
      </c>
      <c r="L663" s="36" t="n">
        <v>464</v>
      </c>
      <c r="M663" s="36" t="n">
        <v>5715</v>
      </c>
      <c r="N663" s="36" t="n">
        <v>0</v>
      </c>
      <c r="O663" s="35" t="inlineStr">
        <is>
          <t>Image_Carrousel</t>
        </is>
      </c>
    </row>
    <row r="664" ht="13.5" customHeight="1" s="109">
      <c r="A664" s="72" t="inlineStr">
        <is>
          <t>https://www.instagram.com/p/DUOKnD4AtRd/</t>
        </is>
      </c>
      <c r="B664" s="72" t="inlineStr">
        <is>
          <t>Culture &amp; Loisirs</t>
        </is>
      </c>
      <c r="C664" s="72" t="inlineStr">
        <is>
          <t>Sport</t>
        </is>
      </c>
      <c r="D664" s="73" t="n">
        <v>45</v>
      </c>
      <c r="E664" s="73" t="inlineStr">
        <is>
          <t>N</t>
        </is>
      </c>
      <c r="F664" s="72" t="inlineStr">
        <is>
          <t>RTS est un média de service public, généralement neutre avec une légère inclinaison.</t>
        </is>
      </c>
      <c r="G664" s="73" t="inlineStr">
        <is>
          <t>Non</t>
        </is>
      </c>
      <c r="H664" s="72" t="n"/>
      <c r="I664" s="73" t="n">
        <v>0</v>
      </c>
      <c r="J664" s="73" t="n">
        <v>6</v>
      </c>
      <c r="K664" s="74">
        <f>IFERROR(I664/J664,0)</f>
        <v/>
      </c>
      <c r="L664" s="73" t="n">
        <v>66</v>
      </c>
      <c r="M664" s="73" t="n">
        <v>2674</v>
      </c>
      <c r="N664" s="73" t="n">
        <v>86064</v>
      </c>
      <c r="O664" s="72" t="inlineStr">
        <is>
          <t>Video</t>
        </is>
      </c>
    </row>
    <row r="665" ht="13.5" customHeight="1" s="109">
      <c r="A665" s="35" t="inlineStr">
        <is>
          <t>https://www.instagram.com/p/DUQd8nUD6T9/</t>
        </is>
      </c>
      <c r="B665" s="35" t="inlineStr">
        <is>
          <t>Societe &amp; Droits</t>
        </is>
      </c>
      <c r="C665" s="35" t="inlineStr">
        <is>
          <t>Immigration</t>
        </is>
      </c>
      <c r="D665" s="36" t="n">
        <v>35</v>
      </c>
      <c r="E665" s="36" t="inlineStr">
        <is>
          <t>G</t>
        </is>
      </c>
      <c r="F665" s="35" t="inlineStr">
        <is>
          <t>Article met en avant discours artistes contre politiques immigration, cadre le sujet.</t>
        </is>
      </c>
      <c r="G665" s="36" t="inlineStr">
        <is>
          <t>Non</t>
        </is>
      </c>
      <c r="H665" s="35" t="n"/>
      <c r="I665" s="36" t="n">
        <v>0</v>
      </c>
      <c r="J665" s="36" t="n">
        <v>3</v>
      </c>
      <c r="K665" s="74">
        <f>IFERROR(I665/J665,0)</f>
        <v/>
      </c>
      <c r="L665" s="36" t="n">
        <v>69</v>
      </c>
      <c r="M665" s="36" t="n">
        <v>7043</v>
      </c>
      <c r="N665" s="36" t="n">
        <v>58364</v>
      </c>
      <c r="O665" s="35" t="inlineStr">
        <is>
          <t>Video</t>
        </is>
      </c>
    </row>
    <row r="666" ht="13.5" customHeight="1" s="109">
      <c r="A666" s="72" t="inlineStr">
        <is>
          <t>https://www.instagram.com/p/DUQu9RMDALB/</t>
        </is>
      </c>
      <c r="B666" s="72" t="inlineStr">
        <is>
          <t>Culture &amp; Loisirs</t>
        </is>
      </c>
      <c r="C666" s="72" t="inlineStr">
        <is>
          <t>Sport</t>
        </is>
      </c>
      <c r="D666" s="73" t="n">
        <v>50</v>
      </c>
      <c r="E666" s="73" t="inlineStr">
        <is>
          <t>N</t>
        </is>
      </c>
      <c r="F666" s="72" t="inlineStr">
        <is>
          <t>RTS, description événementiel local.</t>
        </is>
      </c>
      <c r="G666" s="73" t="inlineStr">
        <is>
          <t>Non</t>
        </is>
      </c>
      <c r="H666" s="72" t="n"/>
      <c r="I666" s="73" t="n">
        <v>0</v>
      </c>
      <c r="J666" s="73" t="n">
        <v>8</v>
      </c>
      <c r="K666" s="74">
        <f>IFERROR(I666/J666,0)</f>
        <v/>
      </c>
      <c r="L666" s="73" t="n">
        <v>17</v>
      </c>
      <c r="M666" s="73" t="n">
        <v>1581</v>
      </c>
      <c r="N666" s="73" t="n">
        <v>0</v>
      </c>
      <c r="O666" s="72" t="inlineStr">
        <is>
          <t>Image_Carrousel</t>
        </is>
      </c>
    </row>
    <row r="667" ht="13.5" customHeight="1" s="109">
      <c r="A667" s="35" t="inlineStr">
        <is>
          <t>https://www.instagram.com/p/DUThaq9kxyF/</t>
        </is>
      </c>
      <c r="B667" s="35" t="inlineStr">
        <is>
          <t>Environnement &amp; Nature</t>
        </is>
      </c>
      <c r="C667" s="35" t="inlineStr">
        <is>
          <t>Climat / Ecologie</t>
        </is>
      </c>
      <c r="D667" s="36" t="n">
        <v>45</v>
      </c>
      <c r="E667" s="36" t="inlineStr">
        <is>
          <t>N</t>
        </is>
      </c>
      <c r="F667" s="35" t="inlineStr">
        <is>
          <t>Média public suisse, informe sur la biodiversité et les phénomènes naturels.</t>
        </is>
      </c>
      <c r="G667" s="36" t="inlineStr">
        <is>
          <t>Oui</t>
        </is>
      </c>
      <c r="H667" s="35" t="inlineStr">
        <is>
          <t>Correction ou question sur la formulation linguistique du texte.</t>
        </is>
      </c>
      <c r="I667" s="36" t="n">
        <v>1</v>
      </c>
      <c r="J667" s="36" t="n">
        <v>8</v>
      </c>
      <c r="K667" s="74">
        <f>IFERROR(I667/J667,0)</f>
        <v/>
      </c>
      <c r="L667" s="36" t="n">
        <v>10</v>
      </c>
      <c r="M667" s="36" t="n">
        <v>2579</v>
      </c>
      <c r="N667" s="36" t="n">
        <v>0</v>
      </c>
      <c r="O667" s="35" t="inlineStr">
        <is>
          <t>Image_Carrousel</t>
        </is>
      </c>
    </row>
    <row r="668" ht="13.5" customHeight="1" s="109">
      <c r="A668" s="72" t="inlineStr">
        <is>
          <t>https://www.instagram.com/p/DUQaSVLF9Av/</t>
        </is>
      </c>
      <c r="B668" s="72" t="inlineStr">
        <is>
          <t>International</t>
        </is>
      </c>
      <c r="C668" s="72" t="inlineStr">
        <is>
          <t>Geopolitique</t>
        </is>
      </c>
      <c r="D668" s="73" t="n">
        <v>40</v>
      </c>
      <c r="E668" s="73" t="inlineStr">
        <is>
          <t>N</t>
        </is>
      </c>
      <c r="F668" s="72" t="inlineStr">
        <is>
          <t>RTS, média public, rapporte la victoire conservatrice de manière objective et factuelle.</t>
        </is>
      </c>
      <c r="G668" s="73" t="inlineStr">
        <is>
          <t>Non</t>
        </is>
      </c>
      <c r="H668" s="72" t="n"/>
      <c r="I668" s="73" t="n">
        <v>0</v>
      </c>
      <c r="J668" s="73" t="n">
        <v>3</v>
      </c>
      <c r="K668" s="74">
        <f>IFERROR(I668/J668,0)</f>
        <v/>
      </c>
      <c r="L668" s="73" t="n">
        <v>45</v>
      </c>
      <c r="M668" s="73" t="n">
        <v>1286</v>
      </c>
      <c r="N668" s="73" t="n">
        <v>0</v>
      </c>
      <c r="O668" s="72" t="inlineStr">
        <is>
          <t>Image_Carrousel</t>
        </is>
      </c>
    </row>
    <row r="669" ht="13.5" customHeight="1" s="109">
      <c r="A669" s="35" t="inlineStr">
        <is>
          <t>https://www.instagram.com/p/DUN0PeYghOh/</t>
        </is>
      </c>
      <c r="B669" s="35" t="inlineStr">
        <is>
          <t>Culture &amp; Loisirs</t>
        </is>
      </c>
      <c r="C669" s="35" t="inlineStr">
        <is>
          <t>Sport</t>
        </is>
      </c>
      <c r="D669" s="36" t="n">
        <v>45</v>
      </c>
      <c r="E669" s="36" t="inlineStr">
        <is>
          <t>N</t>
        </is>
      </c>
      <c r="F669" s="35" t="inlineStr">
        <is>
          <t>Reportage factuel sur un événement sportif majeur par un média public (RTS).</t>
        </is>
      </c>
      <c r="G669" s="36" t="inlineStr">
        <is>
          <t>Non</t>
        </is>
      </c>
      <c r="H669" s="35" t="n"/>
      <c r="I669" s="36" t="n">
        <v>0</v>
      </c>
      <c r="J669" s="36" t="n">
        <v>10</v>
      </c>
      <c r="K669" s="74">
        <f>IFERROR(I669/J669,0)</f>
        <v/>
      </c>
      <c r="L669" s="36" t="n">
        <v>30</v>
      </c>
      <c r="M669" s="36" t="n">
        <v>6392</v>
      </c>
      <c r="N669" s="36" t="n">
        <v>0</v>
      </c>
      <c r="O669" s="35" t="inlineStr">
        <is>
          <t>Image_Carrousel</t>
        </is>
      </c>
    </row>
    <row r="670" ht="13.5" customHeight="1" s="109">
      <c r="A670" s="72" t="inlineStr">
        <is>
          <t>https://www.instagram.com/p/DUQCQAgjeGS/</t>
        </is>
      </c>
      <c r="B670" s="72" t="inlineStr">
        <is>
          <t>Societe &amp; Droits</t>
        </is>
      </c>
      <c r="C670" s="72" t="inlineStr">
        <is>
          <t>Education</t>
        </is>
      </c>
      <c r="D670" s="73" t="n">
        <v>50</v>
      </c>
      <c r="E670" s="73" t="inlineStr">
        <is>
          <t>N</t>
        </is>
      </c>
      <c r="F670" s="72" t="inlineStr">
        <is>
          <t>RTSinfo rapporte factuellement une décision cantonale sur l'éducation.</t>
        </is>
      </c>
      <c r="G670" s="73" t="inlineStr">
        <is>
          <t>Non</t>
        </is>
      </c>
      <c r="H670" s="72" t="n"/>
      <c r="I670" s="73" t="n">
        <v>0</v>
      </c>
      <c r="J670" s="73" t="n">
        <v>9</v>
      </c>
      <c r="K670" s="74">
        <f>IFERROR(I670/J670,0)</f>
        <v/>
      </c>
      <c r="L670" s="73" t="n">
        <v>165</v>
      </c>
      <c r="M670" s="73" t="n">
        <v>15934</v>
      </c>
      <c r="N670" s="73" t="n">
        <v>0</v>
      </c>
      <c r="O670" s="72" t="inlineStr">
        <is>
          <t>Image_Carrousel</t>
        </is>
      </c>
    </row>
    <row r="671" ht="13.5" customHeight="1" s="109">
      <c r="A671" s="35" t="inlineStr">
        <is>
          <t>https://www.instagram.com/p/DUQ1xOsjBDL/</t>
        </is>
      </c>
      <c r="B671" s="35" t="inlineStr">
        <is>
          <t>Societe &amp; Droits</t>
        </is>
      </c>
      <c r="C671" s="35" t="inlineStr">
        <is>
          <t>Faits de societe</t>
        </is>
      </c>
      <c r="D671" s="36" t="n">
        <v>45</v>
      </c>
      <c r="E671" s="36" t="inlineStr">
        <is>
          <t>N</t>
        </is>
      </c>
      <c r="F671" s="35" t="inlineStr">
        <is>
          <t>RTS, service public suisse, information factuelle et historique.</t>
        </is>
      </c>
      <c r="G671" s="36" t="inlineStr">
        <is>
          <t>Oui</t>
        </is>
      </c>
      <c r="H671" s="35" t="inlineStr">
        <is>
          <t>Demande de sources précises pour les informations fournies.</t>
        </is>
      </c>
      <c r="I671" s="36" t="n">
        <v>1</v>
      </c>
      <c r="J671" s="36" t="n">
        <v>4</v>
      </c>
      <c r="K671" s="74">
        <f>IFERROR(I671/J671,0)</f>
        <v/>
      </c>
      <c r="L671" s="36" t="n">
        <v>21</v>
      </c>
      <c r="M671" s="36" t="n">
        <v>4205</v>
      </c>
      <c r="N671" s="36" t="n">
        <v>0</v>
      </c>
      <c r="O671" s="35" t="inlineStr">
        <is>
          <t>Image_Carrousel</t>
        </is>
      </c>
    </row>
    <row r="672" ht="13.5" customHeight="1" s="109">
      <c r="A672" s="72" t="inlineStr">
        <is>
          <t>https://www.instagram.com/p/DUN1fTOgni2/</t>
        </is>
      </c>
      <c r="B672" s="72" t="inlineStr">
        <is>
          <t>Environnement &amp; Nature</t>
        </is>
      </c>
      <c r="C672" s="72" t="inlineStr">
        <is>
          <t>Climat / Ecologie</t>
        </is>
      </c>
      <c r="D672" s="73" t="n">
        <v>50</v>
      </c>
      <c r="E672" s="73" t="inlineStr">
        <is>
          <t>N</t>
        </is>
      </c>
      <c r="F672" s="72" t="inlineStr">
        <is>
          <t>RTSinfo, média de service public, présente une découverte scientifique neutre.</t>
        </is>
      </c>
      <c r="G672" s="73" t="inlineStr">
        <is>
          <t>Non</t>
        </is>
      </c>
      <c r="H672" s="72" t="n"/>
      <c r="I672" s="73" t="n">
        <v>0</v>
      </c>
      <c r="J672" s="73" t="n">
        <v>2</v>
      </c>
      <c r="K672" s="74">
        <f>IFERROR(I672/J672,0)</f>
        <v/>
      </c>
      <c r="L672" s="73" t="n">
        <v>2</v>
      </c>
      <c r="M672" s="73" t="n">
        <v>2036</v>
      </c>
      <c r="N672" s="73" t="n">
        <v>0</v>
      </c>
      <c r="O672" s="72" t="inlineStr">
        <is>
          <t>Image_Carrousel</t>
        </is>
      </c>
    </row>
    <row r="673" ht="13.5" customHeight="1" s="109">
      <c r="A673" s="35" t="inlineStr">
        <is>
          <t>https://www.instagram.com/p/DUQ5kqtgtJm/</t>
        </is>
      </c>
      <c r="B673" s="35" t="inlineStr">
        <is>
          <t>Culture &amp; Loisirs</t>
        </is>
      </c>
      <c r="C673" s="35" t="inlineStr">
        <is>
          <t>Sport</t>
        </is>
      </c>
      <c r="D673" s="36" t="n">
        <v>50</v>
      </c>
      <c r="E673" s="36" t="inlineStr">
        <is>
          <t>N</t>
        </is>
      </c>
      <c r="F673" s="35" t="inlineStr">
        <is>
          <t>Reportage neutre sur innovation technologique dans le sport, sans angle politique.</t>
        </is>
      </c>
      <c r="G673" s="36" t="inlineStr">
        <is>
          <t>Oui</t>
        </is>
      </c>
      <c r="H673" s="35" t="inlineStr">
        <is>
          <t>Demande de filtrer le bruit des drones à la TV.</t>
        </is>
      </c>
      <c r="I673" s="36" t="n">
        <v>1</v>
      </c>
      <c r="J673" s="36" t="n">
        <v>8</v>
      </c>
      <c r="K673" s="74">
        <f>IFERROR(I673/J673,0)</f>
        <v/>
      </c>
      <c r="L673" s="36" t="n">
        <v>15</v>
      </c>
      <c r="M673" s="36" t="n">
        <v>2520</v>
      </c>
      <c r="N673" s="36" t="n">
        <v>31085</v>
      </c>
      <c r="O673" s="35" t="inlineStr">
        <is>
          <t>Video</t>
        </is>
      </c>
    </row>
    <row r="674" ht="13.5" customHeight="1" s="109">
      <c r="A674" s="72" t="inlineStr">
        <is>
          <t>https://www.instagram.com/p/DUPjWVSDZxH/</t>
        </is>
      </c>
      <c r="B674" s="72" t="inlineStr">
        <is>
          <t>Sante</t>
        </is>
      </c>
      <c r="C674" s="72" t="inlineStr">
        <is>
          <t>Sante publique</t>
        </is>
      </c>
      <c r="D674" s="73" t="n">
        <v>40</v>
      </c>
      <c r="E674" s="73" t="inlineStr">
        <is>
          <t>N</t>
        </is>
      </c>
      <c r="F674" s="72" t="inlineStr">
        <is>
          <t>Média de service public, informatif et neutre avec un léger angle social.</t>
        </is>
      </c>
      <c r="G674" s="73" t="inlineStr">
        <is>
          <t>Non</t>
        </is>
      </c>
      <c r="H674" s="72" t="n"/>
      <c r="I674" s="73" t="n">
        <v>0</v>
      </c>
      <c r="J674" s="73" t="n">
        <v>6</v>
      </c>
      <c r="K674" s="74">
        <f>IFERROR(I674/J674,0)</f>
        <v/>
      </c>
      <c r="L674" s="73" t="n">
        <v>87</v>
      </c>
      <c r="M674" s="73" t="n">
        <v>4468</v>
      </c>
      <c r="N674" s="73" t="n">
        <v>0</v>
      </c>
      <c r="O674" s="72" t="inlineStr">
        <is>
          <t>Image_Carrousel</t>
        </is>
      </c>
    </row>
    <row r="675" ht="13.5" customHeight="1" s="109">
      <c r="A675" s="35" t="inlineStr">
        <is>
          <t>https://www.instagram.com/p/DUP3-0DD_GA/</t>
        </is>
      </c>
      <c r="B675" s="35" t="inlineStr">
        <is>
          <t>Economie &amp; Travail</t>
        </is>
      </c>
      <c r="C675" s="35" t="inlineStr">
        <is>
          <t>Consommation</t>
        </is>
      </c>
      <c r="D675" s="36" t="n">
        <v>35</v>
      </c>
      <c r="E675" s="36" t="inlineStr">
        <is>
          <t>N</t>
        </is>
      </c>
      <c r="F675" s="35" t="inlineStr">
        <is>
          <t>RTS est un média public factuel, souvent perçu comme centriste-gauche en Suisse.</t>
        </is>
      </c>
      <c r="G675" s="36" t="inlineStr">
        <is>
          <t>Oui</t>
        </is>
      </c>
      <c r="H675" s="35" t="inlineStr">
        <is>
          <t>Manque d'analyse critique systémique ou politique du phénomène.</t>
        </is>
      </c>
      <c r="I675" s="36" t="n">
        <v>1</v>
      </c>
      <c r="J675" s="36" t="n">
        <v>10</v>
      </c>
      <c r="K675" s="74">
        <f>IFERROR(I675/J675,0)</f>
        <v/>
      </c>
      <c r="L675" s="36" t="n">
        <v>28</v>
      </c>
      <c r="M675" s="36" t="n">
        <v>4859</v>
      </c>
      <c r="N675" s="36" t="n">
        <v>0</v>
      </c>
      <c r="O675" s="35" t="inlineStr">
        <is>
          <t>Image_Carrousel</t>
        </is>
      </c>
    </row>
    <row r="676" ht="13.5" customHeight="1" s="109">
      <c r="A676" s="72" t="inlineStr">
        <is>
          <t>https://www.instagram.com/p/DUOQ9TsiODP/</t>
        </is>
      </c>
      <c r="B676" s="72" t="inlineStr">
        <is>
          <t>Culture &amp; Loisirs</t>
        </is>
      </c>
      <c r="C676" s="72" t="inlineStr">
        <is>
          <t>Medias</t>
        </is>
      </c>
      <c r="D676" s="73" t="n">
        <v>45</v>
      </c>
      <c r="E676" s="73" t="inlineStr">
        <is>
          <t>N</t>
        </is>
      </c>
      <c r="F676" s="72" t="inlineStr">
        <is>
          <t>RTS est un média de service public, l'article est factuel et neutre sur le sujet.</t>
        </is>
      </c>
      <c r="G676" s="73" t="inlineStr">
        <is>
          <t>Non</t>
        </is>
      </c>
      <c r="H676" s="72" t="inlineStr">
        <is>
          <t>Aucune critique du média dans les commentaires fournis.</t>
        </is>
      </c>
      <c r="I676" s="73" t="n">
        <v>0</v>
      </c>
      <c r="J676" s="73" t="n">
        <v>7</v>
      </c>
      <c r="K676" s="74">
        <f>IFERROR(I676/J676,0)</f>
        <v/>
      </c>
      <c r="L676" s="73" t="n">
        <v>7</v>
      </c>
      <c r="M676" s="73" t="n">
        <v>1307</v>
      </c>
      <c r="N676" s="73" t="n">
        <v>0</v>
      </c>
      <c r="O676" s="72" t="inlineStr">
        <is>
          <t>Image_Carrousel</t>
        </is>
      </c>
    </row>
    <row r="677" ht="13.5" customHeight="1" s="109">
      <c r="A677" s="35" t="inlineStr">
        <is>
          <t>https://www.instagram.com/p/DUPqQTmivQQ/</t>
        </is>
      </c>
      <c r="B677" s="35" t="inlineStr">
        <is>
          <t>Culture &amp; Loisirs</t>
        </is>
      </c>
      <c r="C677" s="35" t="inlineStr">
        <is>
          <t>Arts</t>
        </is>
      </c>
      <c r="D677" s="36" t="n">
        <v>55</v>
      </c>
      <c r="E677" s="36" t="inlineStr">
        <is>
          <t>N</t>
        </is>
      </c>
      <c r="F677" s="35" t="inlineStr">
        <is>
          <t>Média public, informe sur le patrimoine culturel et historique de manière factuelle.</t>
        </is>
      </c>
      <c r="G677" s="36" t="inlineStr">
        <is>
          <t>Oui</t>
        </is>
      </c>
      <c r="H677" s="35" t="inlineStr">
        <is>
          <t>Critique le choix éditorial du sujet comme un 'marronnier'.</t>
        </is>
      </c>
      <c r="I677" s="36" t="n">
        <v>1</v>
      </c>
      <c r="J677" s="36" t="n">
        <v>10</v>
      </c>
      <c r="K677" s="74">
        <f>IFERROR(I677/J677,0)</f>
        <v/>
      </c>
      <c r="L677" s="36" t="n">
        <v>16</v>
      </c>
      <c r="M677" s="36" t="n">
        <v>7761</v>
      </c>
      <c r="N677" s="36" t="n">
        <v>0</v>
      </c>
      <c r="O677" s="35" t="inlineStr">
        <is>
          <t>Image_Carrousel</t>
        </is>
      </c>
    </row>
    <row r="678" ht="13.5" customHeight="1" s="109">
      <c r="A678" s="72" t="inlineStr">
        <is>
          <t>https://www.instagram.com/p/DUPxFe8jeek/</t>
        </is>
      </c>
      <c r="B678" s="72" t="inlineStr">
        <is>
          <t>Culture &amp; Loisirs</t>
        </is>
      </c>
      <c r="C678" s="72" t="inlineStr">
        <is>
          <t>Medias</t>
        </is>
      </c>
      <c r="D678" s="73" t="n">
        <v>45</v>
      </c>
      <c r="E678" s="73" t="inlineStr">
        <is>
          <t>N</t>
        </is>
      </c>
      <c r="F678" s="72" t="inlineStr">
        <is>
          <t>RTS est un diffuseur public suisse, visant la neutralité ou légèrement centriste.</t>
        </is>
      </c>
      <c r="G678" s="73" t="inlineStr">
        <is>
          <t>Non</t>
        </is>
      </c>
      <c r="H678" s="72" t="n"/>
      <c r="I678" s="73" t="n">
        <v>0</v>
      </c>
      <c r="J678" s="73" t="n">
        <v>11</v>
      </c>
      <c r="K678" s="74">
        <f>IFERROR(I678/J678,0)</f>
        <v/>
      </c>
      <c r="L678" s="73" t="n">
        <v>66</v>
      </c>
      <c r="M678" s="73" t="n">
        <v>11222</v>
      </c>
      <c r="N678" s="73" t="n">
        <v>0</v>
      </c>
      <c r="O678" s="72" t="inlineStr">
        <is>
          <t>Image_Carrousel</t>
        </is>
      </c>
    </row>
    <row r="679" ht="13.5" customHeight="1" s="109">
      <c r="A679" s="35" t="inlineStr">
        <is>
          <t>https://www.instagram.com/p/DUOKN0bDajI/</t>
        </is>
      </c>
      <c r="B679" s="35" t="inlineStr">
        <is>
          <t>Societe &amp; Droits</t>
        </is>
      </c>
      <c r="C679" s="35" t="inlineStr">
        <is>
          <t>Questions de Genre</t>
        </is>
      </c>
      <c r="D679" s="36" t="n">
        <v>30</v>
      </c>
      <c r="E679" s="36" t="inlineStr">
        <is>
          <t>G</t>
        </is>
      </c>
      <c r="F679" s="35" t="inlineStr">
        <is>
          <t>Rapport factuel sur une initiative sociale progressiste contre le harcèlement de genre.</t>
        </is>
      </c>
      <c r="G679" s="36" t="inlineStr">
        <is>
          <t>Non</t>
        </is>
      </c>
      <c r="H679" s="35" t="inlineStr">
        <is>
          <t>Aucune critique directe du média par les commentaires.</t>
        </is>
      </c>
      <c r="I679" s="36" t="n">
        <v>0</v>
      </c>
      <c r="J679" s="36" t="n">
        <v>7</v>
      </c>
      <c r="K679" s="74">
        <f>IFERROR(I679/J679,0)</f>
        <v/>
      </c>
      <c r="L679" s="36" t="n">
        <v>24</v>
      </c>
      <c r="M679" s="36" t="n">
        <v>1010</v>
      </c>
      <c r="N679" s="36" t="n">
        <v>0</v>
      </c>
      <c r="O679" s="35" t="inlineStr">
        <is>
          <t>Image_Carrousel</t>
        </is>
      </c>
    </row>
    <row r="680" ht="13.5" customHeight="1" s="109">
      <c r="A680" s="72" t="inlineStr">
        <is>
          <t>https://www.instagram.com/p/DUOX4Y8AU_s/</t>
        </is>
      </c>
      <c r="B680" s="72" t="inlineStr">
        <is>
          <t>Environnement &amp; Nature</t>
        </is>
      </c>
      <c r="C680" s="72" t="inlineStr">
        <is>
          <t>Climat / Ecologie</t>
        </is>
      </c>
      <c r="D680" s="73" t="n">
        <v>45</v>
      </c>
      <c r="E680" s="73" t="inlineStr">
        <is>
          <t>G</t>
        </is>
      </c>
      <c r="F680" s="72" t="inlineStr">
        <is>
          <t>Médias publics suisses, reportage scientifique factuel sur la conservation des espèces.</t>
        </is>
      </c>
      <c r="G680" s="73" t="inlineStr">
        <is>
          <t>Oui</t>
        </is>
      </c>
      <c r="H680" s="72" t="inlineStr">
        <is>
          <t>Termes employés ('cousin du dodo', 'réapparaît') jugés imprécis.</t>
        </is>
      </c>
      <c r="I680" s="73" t="n">
        <v>4</v>
      </c>
      <c r="J680" s="73" t="n">
        <v>6</v>
      </c>
      <c r="K680" s="74">
        <f>IFERROR(I680/J680,0)</f>
        <v/>
      </c>
      <c r="L680" s="73" t="n">
        <v>23</v>
      </c>
      <c r="M680" s="73" t="n">
        <v>14025</v>
      </c>
      <c r="N680" s="73" t="n">
        <v>0</v>
      </c>
      <c r="O680" s="72" t="inlineStr">
        <is>
          <t>Image_Carrousel</t>
        </is>
      </c>
    </row>
    <row r="681" ht="13.5" customHeight="1" s="109">
      <c r="A681" s="35" t="inlineStr">
        <is>
          <t>https://www.instagram.com/p/DUNMZJFCXAG/</t>
        </is>
      </c>
      <c r="B681" s="35" t="inlineStr">
        <is>
          <t>Culture &amp; Loisirs</t>
        </is>
      </c>
      <c r="C681" s="35" t="inlineStr">
        <is>
          <t>Arts</t>
        </is>
      </c>
      <c r="D681" s="36" t="n">
        <v>45</v>
      </c>
      <c r="E681" s="36" t="inlineStr">
        <is>
          <t>N</t>
        </is>
      </c>
      <c r="F681" s="35" t="inlineStr">
        <is>
          <t>Service public, info factuelle, décentre la perspective eurocentrique.</t>
        </is>
      </c>
      <c r="G681" s="36" t="inlineStr">
        <is>
          <t>Oui</t>
        </is>
      </c>
      <c r="H681" s="35" t="inlineStr">
        <is>
          <t>Erreur de transcription dans les sous-titres mentionnée par un utilisateur.</t>
        </is>
      </c>
      <c r="I681" s="36" t="n">
        <v>1</v>
      </c>
      <c r="J681" s="36" t="n">
        <v>10</v>
      </c>
      <c r="K681" s="74">
        <f>IFERROR(I681/J681,0)</f>
        <v/>
      </c>
      <c r="L681" s="36" t="n">
        <v>13</v>
      </c>
      <c r="M681" s="36" t="n">
        <v>1964</v>
      </c>
      <c r="N681" s="36" t="n">
        <v>36648</v>
      </c>
      <c r="O681" s="35" t="inlineStr">
        <is>
          <t>Video</t>
        </is>
      </c>
    </row>
    <row r="682" ht="13.5" customHeight="1" s="109">
      <c r="A682" s="72" t="inlineStr">
        <is>
          <t>https://www.instagram.com/p/DUQTapWDNtw/</t>
        </is>
      </c>
      <c r="B682" s="72" t="inlineStr">
        <is>
          <t>Economie &amp; Travail</t>
        </is>
      </c>
      <c r="C682" s="72" t="inlineStr">
        <is>
          <t>Consommation</t>
        </is>
      </c>
      <c r="D682" s="73" t="n">
        <v>50</v>
      </c>
      <c r="E682" s="73" t="inlineStr">
        <is>
          <t>N</t>
        </is>
      </c>
      <c r="F682" s="72" t="inlineStr">
        <is>
          <t>Article équilibré présentant les arguments des deux parties sans jugement évident.</t>
        </is>
      </c>
      <c r="G682" s="73" t="inlineStr">
        <is>
          <t>Non</t>
        </is>
      </c>
      <c r="H682" s="72" t="n"/>
      <c r="I682" s="73" t="n">
        <v>0</v>
      </c>
      <c r="J682" s="73" t="n">
        <v>9</v>
      </c>
      <c r="K682" s="74">
        <f>IFERROR(I682/J682,0)</f>
        <v/>
      </c>
      <c r="L682" s="73" t="n">
        <v>38</v>
      </c>
      <c r="M682" s="73" t="n">
        <v>1849</v>
      </c>
      <c r="N682" s="73" t="n">
        <v>0</v>
      </c>
      <c r="O682" s="72" t="inlineStr">
        <is>
          <t>Image_Carrousel</t>
        </is>
      </c>
    </row>
    <row r="683" ht="13.5" customHeight="1" s="109">
      <c r="A683" s="35" t="inlineStr">
        <is>
          <t>https://www.instagram.com/p/DULsKvND3ER/</t>
        </is>
      </c>
      <c r="B683" s="35" t="inlineStr">
        <is>
          <t>Economie &amp; Travail</t>
        </is>
      </c>
      <c r="C683" s="35" t="inlineStr">
        <is>
          <t>Consommation</t>
        </is>
      </c>
      <c r="D683" s="36" t="n">
        <v>45</v>
      </c>
      <c r="E683" s="36" t="inlineStr">
        <is>
          <t>N</t>
        </is>
      </c>
      <c r="F683" s="35" t="inlineStr">
        <is>
          <t>RTSinfo est un média de service public, rapport factuel.</t>
        </is>
      </c>
      <c r="G683" s="36" t="inlineStr">
        <is>
          <t>Non</t>
        </is>
      </c>
      <c r="H683" s="35" t="n"/>
      <c r="I683" s="36" t="n">
        <v>0</v>
      </c>
      <c r="J683" s="36" t="n">
        <v>4</v>
      </c>
      <c r="K683" s="74">
        <f>IFERROR(I683/J683,0)</f>
        <v/>
      </c>
      <c r="L683" s="36" t="n">
        <v>58</v>
      </c>
      <c r="M683" s="36" t="n">
        <v>6401</v>
      </c>
      <c r="N683" s="36" t="n">
        <v>0</v>
      </c>
      <c r="O683" s="35" t="inlineStr">
        <is>
          <t>Image_Carrousel</t>
        </is>
      </c>
    </row>
    <row r="684" ht="13.5" customHeight="1" s="109">
      <c r="A684" s="72" t="inlineStr">
        <is>
          <t>https://www.instagram.com/p/DULJ2t_j4Ck/</t>
        </is>
      </c>
      <c r="B684" s="72" t="inlineStr">
        <is>
          <t>Politique &amp; Institutions</t>
        </is>
      </c>
      <c r="C684" s="72" t="inlineStr">
        <is>
          <t>Autorites</t>
        </is>
      </c>
      <c r="D684" s="73" t="n">
        <v>50</v>
      </c>
      <c r="E684" s="73" t="inlineStr">
        <is>
          <t>N</t>
        </is>
      </c>
      <c r="F684" s="72" t="inlineStr">
        <is>
          <t>Média de service public suisse, s'efforce de neutralité et de couverture factuelle.</t>
        </is>
      </c>
      <c r="G684" s="73" t="inlineStr">
        <is>
          <t>Non</t>
        </is>
      </c>
      <c r="H684" s="72" t="n"/>
      <c r="I684" s="73" t="n">
        <v>0</v>
      </c>
      <c r="J684" s="73" t="n">
        <v>4</v>
      </c>
      <c r="K684" s="74">
        <f>IFERROR(I684/J684,0)</f>
        <v/>
      </c>
      <c r="L684" s="73" t="n">
        <v>36</v>
      </c>
      <c r="M684" s="73" t="n">
        <v>3445</v>
      </c>
      <c r="N684" s="73" t="n">
        <v>0</v>
      </c>
      <c r="O684" s="72" t="inlineStr">
        <is>
          <t>Image_Carrousel</t>
        </is>
      </c>
    </row>
    <row r="685" ht="13.5" customHeight="1" s="109">
      <c r="A685" s="35" t="inlineStr">
        <is>
          <t>https://www.instagram.com/p/DUNupnZjRtM/</t>
        </is>
      </c>
      <c r="B685" s="35" t="inlineStr">
        <is>
          <t>Societe &amp; Droits</t>
        </is>
      </c>
      <c r="C685" s="35" t="inlineStr">
        <is>
          <t>Faits de societe</t>
        </is>
      </c>
      <c r="D685" s="36" t="n">
        <v>35</v>
      </c>
      <c r="E685" s="36" t="inlineStr">
        <is>
          <t>G</t>
        </is>
      </c>
      <c r="F685" s="35" t="inlineStr">
        <is>
          <t>Média public suisse qui aborde des inégalités sociales profondes.</t>
        </is>
      </c>
      <c r="G685" s="36" t="inlineStr">
        <is>
          <t>Non</t>
        </is>
      </c>
      <c r="H685" s="35" t="n"/>
      <c r="I685" s="36" t="n">
        <v>0</v>
      </c>
      <c r="J685" s="36" t="n">
        <v>7</v>
      </c>
      <c r="K685" s="74">
        <f>IFERROR(I685/J685,0)</f>
        <v/>
      </c>
      <c r="L685" s="36" t="n">
        <v>65</v>
      </c>
      <c r="M685" s="36" t="n">
        <v>4258</v>
      </c>
      <c r="N685" s="36" t="n">
        <v>45976</v>
      </c>
      <c r="O685" s="35" t="inlineStr">
        <is>
          <t>Video</t>
        </is>
      </c>
    </row>
    <row r="686" ht="13.5" customHeight="1" s="109">
      <c r="A686" s="72" t="inlineStr">
        <is>
          <t>https://www.instagram.com/p/DUNddv_iOKY/</t>
        </is>
      </c>
      <c r="B686" s="72" t="inlineStr">
        <is>
          <t>Economie &amp; Travail</t>
        </is>
      </c>
      <c r="C686" s="72" t="inlineStr">
        <is>
          <t>Consommation</t>
        </is>
      </c>
      <c r="D686" s="73" t="n">
        <v>40</v>
      </c>
      <c r="E686" s="73" t="inlineStr">
        <is>
          <t>N</t>
        </is>
      </c>
      <c r="F686" s="72" t="inlineStr">
        <is>
          <t>Critique marketing, risques santé/environnement, analyse enjeux géopolitiques.</t>
        </is>
      </c>
      <c r="G686" s="73" t="inlineStr">
        <is>
          <t>Oui</t>
        </is>
      </c>
      <c r="H686" s="72" t="inlineStr">
        <is>
          <t>Choix du sujet, manque de perspective sur autres problèmes.</t>
        </is>
      </c>
      <c r="I686" s="73" t="n">
        <v>1</v>
      </c>
      <c r="J686" s="73" t="n">
        <v>3</v>
      </c>
      <c r="K686" s="74">
        <f>IFERROR(I686/J686,0)</f>
        <v/>
      </c>
      <c r="L686" s="73" t="n">
        <v>109</v>
      </c>
      <c r="M686" s="73" t="n">
        <v>3678</v>
      </c>
      <c r="N686" s="73" t="n">
        <v>0</v>
      </c>
      <c r="O686" s="72" t="inlineStr">
        <is>
          <t>Image_Carrousel</t>
        </is>
      </c>
    </row>
    <row r="687" ht="13.5" customHeight="1" s="109">
      <c r="A687" s="35" t="inlineStr">
        <is>
          <t>https://www.instagram.com/p/DULlU8ugGPr/</t>
        </is>
      </c>
      <c r="B687" s="35" t="inlineStr">
        <is>
          <t>Culture &amp; Loisirs</t>
        </is>
      </c>
      <c r="C687" s="35" t="inlineStr">
        <is>
          <t>Medias</t>
        </is>
      </c>
      <c r="D687" s="36" t="n">
        <v>45</v>
      </c>
      <c r="E687" s="36" t="inlineStr">
        <is>
          <t>N</t>
        </is>
      </c>
      <c r="F687" s="35" t="inlineStr">
        <is>
          <t>Présentation neutre/légèrement positive d'une plateforme aux valeurs progressistes européennes.</t>
        </is>
      </c>
      <c r="G687" s="36" t="inlineStr">
        <is>
          <t>Oui</t>
        </is>
      </c>
      <c r="H687" s="35" t="inlineStr">
        <is>
          <t>Accusation que le média promeut un outil potentiellement désinformateur.</t>
        </is>
      </c>
      <c r="I687" s="36" t="n">
        <v>1</v>
      </c>
      <c r="J687" s="36" t="n">
        <v>5</v>
      </c>
      <c r="K687" s="74">
        <f>IFERROR(I687/J687,0)</f>
        <v/>
      </c>
      <c r="L687" s="36" t="n">
        <v>150</v>
      </c>
      <c r="M687" s="36" t="n">
        <v>3751</v>
      </c>
      <c r="N687" s="36" t="n">
        <v>0</v>
      </c>
      <c r="O687" s="35" t="inlineStr">
        <is>
          <t>Image_Carrousel</t>
        </is>
      </c>
    </row>
    <row r="688" ht="13.5" customHeight="1" s="109">
      <c r="A688" s="72" t="inlineStr">
        <is>
          <t>https://www.instagram.com/p/DUNTQcRD2Qc/</t>
        </is>
      </c>
      <c r="B688" s="72" t="inlineStr">
        <is>
          <t>Culture &amp; Loisirs</t>
        </is>
      </c>
      <c r="C688" s="72" t="inlineStr">
        <is>
          <t>Arts</t>
        </is>
      </c>
      <c r="D688" s="73" t="n">
        <v>45</v>
      </c>
      <c r="E688" s="73" t="inlineStr">
        <is>
          <t>G</t>
        </is>
      </c>
      <c r="F688" s="72" t="inlineStr">
        <is>
          <t>Mise au Point (RTS) est un média public, généralement perçu comme centre-gauche.</t>
        </is>
      </c>
      <c r="G688" s="73" t="inlineStr">
        <is>
          <t>Oui</t>
        </is>
      </c>
      <c r="H688" s="72" t="inlineStr">
        <is>
          <t>Un commentaire critique les radios suisses pour leur manque d'humour.</t>
        </is>
      </c>
      <c r="I688" s="73" t="n">
        <v>1</v>
      </c>
      <c r="J688" s="73" t="n">
        <v>9</v>
      </c>
      <c r="K688" s="74">
        <f>IFERROR(I688/J688,0)</f>
        <v/>
      </c>
      <c r="L688" s="73" t="n">
        <v>39</v>
      </c>
      <c r="M688" s="73" t="n">
        <v>2930</v>
      </c>
      <c r="N688" s="73" t="n">
        <v>67877</v>
      </c>
      <c r="O688" s="72" t="inlineStr">
        <is>
          <t>Video</t>
        </is>
      </c>
    </row>
    <row r="689" ht="13.5" customHeight="1" s="109">
      <c r="A689" s="35" t="inlineStr">
        <is>
          <t>https://www.instagram.com/p/DULQ1qujwjv/</t>
        </is>
      </c>
      <c r="B689" s="35" t="inlineStr">
        <is>
          <t>Culture &amp; Loisirs</t>
        </is>
      </c>
      <c r="C689" s="35" t="inlineStr">
        <is>
          <t>Arts</t>
        </is>
      </c>
      <c r="D689" s="36" t="n">
        <v>45</v>
      </c>
      <c r="E689" s="36" t="inlineStr">
        <is>
          <t>N</t>
        </is>
      </c>
      <c r="F689" s="35" t="inlineStr">
        <is>
          <t>Média public couvrant la culture, met l'accent sur l'émergence artistique et l'inclusivité.</t>
        </is>
      </c>
      <c r="G689" s="36" t="inlineStr">
        <is>
          <t>Non</t>
        </is>
      </c>
      <c r="H689" s="35" t="inlineStr">
        <is>
          <t>Aucun commentaire ne critique spécifiquement le média ou son traitement de l'information.</t>
        </is>
      </c>
      <c r="I689" s="36" t="n">
        <v>0</v>
      </c>
      <c r="J689" s="36" t="n">
        <v>8</v>
      </c>
      <c r="K689" s="74">
        <f>IFERROR(I689/J689,0)</f>
        <v/>
      </c>
      <c r="L689" s="36" t="n">
        <v>10</v>
      </c>
      <c r="M689" s="36" t="n">
        <v>958</v>
      </c>
      <c r="N689" s="36" t="n">
        <v>16276</v>
      </c>
      <c r="O689" s="35" t="inlineStr">
        <is>
          <t>Video</t>
        </is>
      </c>
    </row>
    <row r="690" ht="13.5" customHeight="1" s="109">
      <c r="A690" s="72" t="inlineStr">
        <is>
          <t>https://www.instagram.com/p/DUNnyVtDYHI/</t>
        </is>
      </c>
      <c r="B690" s="72" t="inlineStr">
        <is>
          <t>Environnement &amp; Nature</t>
        </is>
      </c>
      <c r="C690" s="72" t="inlineStr">
        <is>
          <t>Climat / Ecologie</t>
        </is>
      </c>
      <c r="D690" s="73" t="n">
        <v>40</v>
      </c>
      <c r="E690" s="73" t="inlineStr">
        <is>
          <t>N</t>
        </is>
      </c>
      <c r="F690" s="72" t="inlineStr">
        <is>
          <t>Media de service public rapportant une mesure environnementale de l'UE.</t>
        </is>
      </c>
      <c r="G690" s="73" t="inlineStr">
        <is>
          <t>Oui</t>
        </is>
      </c>
      <c r="H690" s="72" t="inlineStr">
        <is>
          <t>Questionne la pertinence du sujet couvert par le media.</t>
        </is>
      </c>
      <c r="I690" s="73" t="n">
        <v>1</v>
      </c>
      <c r="J690" s="73" t="n">
        <v>9</v>
      </c>
      <c r="K690" s="74">
        <f>IFERROR(I690/J690,0)</f>
        <v/>
      </c>
      <c r="L690" s="73" t="n">
        <v>100</v>
      </c>
      <c r="M690" s="73" t="n">
        <v>4701</v>
      </c>
      <c r="N690" s="73" t="n">
        <v>0</v>
      </c>
      <c r="O690" s="72" t="inlineStr">
        <is>
          <t>Image_Carrousel</t>
        </is>
      </c>
    </row>
    <row r="691" ht="13.5" customHeight="1" s="109">
      <c r="A691" s="35" t="inlineStr">
        <is>
          <t>https://www.instagram.com/p/DUNyCiYCv2s/</t>
        </is>
      </c>
      <c r="B691" s="35" t="inlineStr">
        <is>
          <t>Securite &amp; Justice</t>
        </is>
      </c>
      <c r="C691" s="35" t="inlineStr">
        <is>
          <t>Justice</t>
        </is>
      </c>
      <c r="D691" s="36" t="n">
        <v>50</v>
      </c>
      <c r="E691" s="36" t="inlineStr">
        <is>
          <t>N</t>
        </is>
      </c>
      <c r="F691" s="35" t="inlineStr">
        <is>
          <t>RTS rapporte les faits d'une tragédie et les appels à justice, sans prendre parti.</t>
        </is>
      </c>
      <c r="G691" s="36" t="inlineStr">
        <is>
          <t>Non</t>
        </is>
      </c>
      <c r="H691" s="35" t="inlineStr">
        <is>
          <t>Aucune critique directe du média n'est formulée dans les commentaires.</t>
        </is>
      </c>
      <c r="I691" s="36" t="n">
        <v>0</v>
      </c>
      <c r="J691" s="36" t="n">
        <v>9</v>
      </c>
      <c r="K691" s="74">
        <f>IFERROR(I691/J691,0)</f>
        <v/>
      </c>
      <c r="L691" s="36" t="n">
        <v>306</v>
      </c>
      <c r="M691" s="36" t="n">
        <v>17112</v>
      </c>
      <c r="N691" s="36" t="n">
        <v>0</v>
      </c>
      <c r="O691" s="35" t="inlineStr">
        <is>
          <t>Image_Carrousel</t>
        </is>
      </c>
    </row>
    <row r="692" ht="13.5" customHeight="1" s="109">
      <c r="A692" s="72" t="inlineStr">
        <is>
          <t>https://www.instagram.com/p/DUJDY2tgBFh/</t>
        </is>
      </c>
      <c r="B692" s="72" t="inlineStr">
        <is>
          <t>Securite &amp; Justice</t>
        </is>
      </c>
      <c r="C692" s="72" t="inlineStr">
        <is>
          <t>Justice</t>
        </is>
      </c>
      <c r="D692" s="73" t="n">
        <v>50</v>
      </c>
      <c r="E692" s="73" t="inlineStr">
        <is>
          <t>N</t>
        </is>
      </c>
      <c r="F692" s="72" t="inlineStr">
        <is>
          <t>RTS est un média de service public suisse, cherchant l'impartialité et l'équilibre.</t>
        </is>
      </c>
      <c r="G692" s="73" t="inlineStr">
        <is>
          <t>Non</t>
        </is>
      </c>
      <c r="H692" s="72" t="n"/>
      <c r="I692" s="73" t="n">
        <v>0</v>
      </c>
      <c r="J692" s="73" t="n">
        <v>3</v>
      </c>
      <c r="K692" s="74">
        <f>IFERROR(I692/J692,0)</f>
        <v/>
      </c>
      <c r="L692" s="73" t="n">
        <v>88</v>
      </c>
      <c r="M692" s="73" t="n">
        <v>11641</v>
      </c>
      <c r="N692" s="73" t="n">
        <v>0</v>
      </c>
      <c r="O692" s="72" t="inlineStr">
        <is>
          <t>Image_Carrousel</t>
        </is>
      </c>
    </row>
    <row r="693" ht="13.5" customHeight="1" s="109">
      <c r="A693" s="35" t="inlineStr">
        <is>
          <t>https://www.instagram.com/p/DUJVJ6BCSW8/</t>
        </is>
      </c>
      <c r="B693" s="35" t="inlineStr">
        <is>
          <t>Securite &amp; Justice</t>
        </is>
      </c>
      <c r="C693" s="35" t="inlineStr">
        <is>
          <t>Activites de Police</t>
        </is>
      </c>
      <c r="D693" s="36" t="n">
        <v>50</v>
      </c>
      <c r="E693" s="36" t="inlineStr">
        <is>
          <t>N</t>
        </is>
      </c>
      <c r="F693" s="35" t="inlineStr">
        <is>
          <t>RTS service public, AFP agence de presse neutre et factuelle.</t>
        </is>
      </c>
      <c r="G693" s="36" t="inlineStr">
        <is>
          <t>Non</t>
        </is>
      </c>
      <c r="H693" s="35" t="inlineStr">
        <is>
          <t>Aucune critique directe du média par les commentaires.</t>
        </is>
      </c>
      <c r="I693" s="36" t="n">
        <v>0</v>
      </c>
      <c r="J693" s="36" t="n">
        <v>3</v>
      </c>
      <c r="K693" s="74">
        <f>IFERROR(I693/J693,0)</f>
        <v/>
      </c>
      <c r="L693" s="36" t="n">
        <v>3</v>
      </c>
      <c r="M693" s="36" t="n">
        <v>1115</v>
      </c>
      <c r="N693" s="36" t="n">
        <v>65795</v>
      </c>
      <c r="O693" s="35" t="inlineStr">
        <is>
          <t>Video</t>
        </is>
      </c>
    </row>
    <row r="694" ht="13.5" customHeight="1" s="109">
      <c r="A694" s="72" t="inlineStr">
        <is>
          <t>https://www.instagram.com/p/DUIT4x8guC2/</t>
        </is>
      </c>
      <c r="B694" s="72" t="inlineStr">
        <is>
          <t>Societe &amp; Droits</t>
        </is>
      </c>
      <c r="C694" s="72" t="inlineStr">
        <is>
          <t>Faits de societe</t>
        </is>
      </c>
      <c r="D694" s="73" t="n">
        <v>45</v>
      </c>
      <c r="E694" s="73" t="inlineStr">
        <is>
          <t>N</t>
        </is>
      </c>
      <c r="F694" s="72" t="inlineStr">
        <is>
          <t>Média public suisse, réputé pour son approche équilibrée et centriste.</t>
        </is>
      </c>
      <c r="G694" s="73" t="inlineStr">
        <is>
          <t>Non</t>
        </is>
      </c>
      <c r="H694" s="72" t="n"/>
      <c r="I694" s="73" t="n">
        <v>0</v>
      </c>
      <c r="J694" s="73" t="n">
        <v>2</v>
      </c>
      <c r="K694" s="74">
        <f>IFERROR(I694/J694,0)</f>
        <v/>
      </c>
      <c r="L694" s="73" t="n">
        <v>218</v>
      </c>
      <c r="M694" s="73" t="n">
        <v>19145</v>
      </c>
      <c r="N694" s="73" t="n">
        <v>153278</v>
      </c>
      <c r="O694" s="72" t="inlineStr">
        <is>
          <t>Video</t>
        </is>
      </c>
    </row>
    <row r="695" ht="13.5" customHeight="1" s="109">
      <c r="A695" s="35" t="inlineStr">
        <is>
          <t>https://www.instagram.com/p/DUJSNVtFmwp/</t>
        </is>
      </c>
      <c r="B695" s="35" t="inlineStr">
        <is>
          <t>Securite &amp; Justice</t>
        </is>
      </c>
      <c r="C695" s="35" t="inlineStr">
        <is>
          <t>Justice</t>
        </is>
      </c>
      <c r="D695" s="36" t="n">
        <v>50</v>
      </c>
      <c r="E695" s="36" t="inlineStr">
        <is>
          <t>N</t>
        </is>
      </c>
      <c r="F695" s="35" t="inlineStr">
        <is>
          <t>Rapportage factuel d'une décision d'entraide judiciaire Suisse-Italie, mentionnant critiques externes.</t>
        </is>
      </c>
      <c r="G695" s="36" t="inlineStr">
        <is>
          <t>Non</t>
        </is>
      </c>
      <c r="H695" s="35" t="n"/>
      <c r="I695" s="36" t="n">
        <v>0</v>
      </c>
      <c r="J695" s="36" t="n">
        <v>6</v>
      </c>
      <c r="K695" s="74">
        <f>IFERROR(I695/J695,0)</f>
        <v/>
      </c>
      <c r="L695" s="36" t="n">
        <v>126</v>
      </c>
      <c r="M695" s="36" t="n">
        <v>4693</v>
      </c>
      <c r="N695" s="36" t="n">
        <v>0</v>
      </c>
      <c r="O695" s="35" t="inlineStr">
        <is>
          <t>Image_Carrousel</t>
        </is>
      </c>
    </row>
    <row r="696" ht="13.5" customHeight="1" s="109">
      <c r="A696" s="72" t="inlineStr">
        <is>
          <t>https://www.instagram.com/p/DUJV7DNFh3D/</t>
        </is>
      </c>
      <c r="B696" s="72" t="inlineStr">
        <is>
          <t>Culture &amp; Loisirs</t>
        </is>
      </c>
      <c r="C696" s="72" t="inlineStr">
        <is>
          <t>Arts</t>
        </is>
      </c>
      <c r="D696" s="73" t="n">
        <v>50</v>
      </c>
      <c r="E696" s="73" t="inlineStr">
        <is>
          <t>N</t>
        </is>
      </c>
      <c r="F696" s="72" t="inlineStr">
        <is>
          <t>RTS et AFP sont des sources d'information reconnues, généralement neutres et objectives.</t>
        </is>
      </c>
      <c r="G696" s="73" t="inlineStr">
        <is>
          <t>Non</t>
        </is>
      </c>
      <c r="H696" s="72" t="n"/>
      <c r="I696" s="73" t="n">
        <v>0</v>
      </c>
      <c r="J696" s="73" t="n">
        <v>10</v>
      </c>
      <c r="K696" s="74">
        <f>IFERROR(I696/J696,0)</f>
        <v/>
      </c>
      <c r="L696" s="73" t="n">
        <v>68</v>
      </c>
      <c r="M696" s="73" t="n">
        <v>10129</v>
      </c>
      <c r="N696" s="73" t="n">
        <v>0</v>
      </c>
      <c r="O696" s="72" t="inlineStr">
        <is>
          <t>Image_Carrousel</t>
        </is>
      </c>
    </row>
    <row r="697" ht="13.5" customHeight="1" s="109">
      <c r="A697" s="35" t="inlineStr">
        <is>
          <t>https://www.instagram.com/p/DUJAnhNk3bP/</t>
        </is>
      </c>
      <c r="B697" s="35" t="inlineStr">
        <is>
          <t>Politique &amp; Institutions</t>
        </is>
      </c>
      <c r="C697" s="35" t="inlineStr">
        <is>
          <t>Autorites</t>
        </is>
      </c>
      <c r="D697" s="36" t="n">
        <v>45</v>
      </c>
      <c r="E697" s="36" t="inlineStr">
        <is>
          <t>N</t>
        </is>
      </c>
      <c r="F697" s="35" t="inlineStr">
        <is>
          <t>Rapport factuel sur la politique gouvernementale par un radiodiffuseur public.</t>
        </is>
      </c>
      <c r="G697" s="36" t="inlineStr">
        <is>
          <t>Non</t>
        </is>
      </c>
      <c r="H697" s="35" t="n"/>
      <c r="I697" s="36" t="n">
        <v>0</v>
      </c>
      <c r="J697" s="36" t="n">
        <v>7</v>
      </c>
      <c r="K697" s="74">
        <f>IFERROR(I697/J697,0)</f>
        <v/>
      </c>
      <c r="L697" s="36" t="n">
        <v>63</v>
      </c>
      <c r="M697" s="36" t="n">
        <v>2573</v>
      </c>
      <c r="N697" s="36" t="n">
        <v>0</v>
      </c>
      <c r="O697" s="35" t="inlineStr">
        <is>
          <t>Image_Carrousel</t>
        </is>
      </c>
    </row>
    <row r="698" ht="13.5" customHeight="1" s="109">
      <c r="A698" s="72" t="inlineStr">
        <is>
          <t>https://www.instagram.com/p/DUGioQqD5um/</t>
        </is>
      </c>
      <c r="B698" s="72" t="inlineStr">
        <is>
          <t>Societe &amp; Droits</t>
        </is>
      </c>
      <c r="C698" s="72" t="inlineStr">
        <is>
          <t>Questions de Genre</t>
        </is>
      </c>
      <c r="D698" s="73" t="n">
        <v>40</v>
      </c>
      <c r="E698" s="73" t="inlineStr">
        <is>
          <t>G</t>
        </is>
      </c>
      <c r="F698" s="72" t="inlineStr">
        <is>
          <t>Rapport factuel sur loi progressiste rectifiant une inégalité de genre.</t>
        </is>
      </c>
      <c r="G698" s="73" t="inlineStr">
        <is>
          <t>Non</t>
        </is>
      </c>
      <c r="H698" s="72" t="inlineStr">
        <is>
          <t>Aucune critique du média.</t>
        </is>
      </c>
      <c r="I698" s="73" t="n">
        <v>0</v>
      </c>
      <c r="J698" s="73" t="n">
        <v>9</v>
      </c>
      <c r="K698" s="74">
        <f>IFERROR(I698/J698,0)</f>
        <v/>
      </c>
      <c r="L698" s="73" t="n">
        <v>109</v>
      </c>
      <c r="M698" s="73" t="n">
        <v>3230</v>
      </c>
      <c r="N698" s="73" t="n">
        <v>65549</v>
      </c>
      <c r="O698" s="72" t="inlineStr">
        <is>
          <t>Video</t>
        </is>
      </c>
    </row>
    <row r="699" ht="13.5" customHeight="1" s="109">
      <c r="A699" s="35" t="inlineStr">
        <is>
          <t>https://www.instagram.com/p/DUKnjWTj2Y9/</t>
        </is>
      </c>
      <c r="B699" s="35" t="inlineStr">
        <is>
          <t>Societe &amp; Droits</t>
        </is>
      </c>
      <c r="C699" s="35" t="inlineStr">
        <is>
          <t>Questions de Genre</t>
        </is>
      </c>
      <c r="D699" s="36" t="n">
        <v>45</v>
      </c>
      <c r="E699" s="36" t="inlineStr">
        <is>
          <t>N</t>
        </is>
      </c>
      <c r="F699" s="35" t="inlineStr">
        <is>
          <t>Service public, met en avant l'artisanat et la mixité professionnelle.</t>
        </is>
      </c>
      <c r="G699" s="36" t="inlineStr">
        <is>
          <t>Non</t>
        </is>
      </c>
      <c r="H699" s="35" t="n"/>
      <c r="I699" s="36" t="n">
        <v>0</v>
      </c>
      <c r="J699" s="36" t="n">
        <v>10</v>
      </c>
      <c r="K699" s="74">
        <f>IFERROR(I699/J699,0)</f>
        <v/>
      </c>
      <c r="L699" s="36" t="n">
        <v>18</v>
      </c>
      <c r="M699" s="36" t="n">
        <v>1962</v>
      </c>
      <c r="N699" s="36" t="n">
        <v>46037</v>
      </c>
      <c r="O699" s="35" t="inlineStr">
        <is>
          <t>Video</t>
        </is>
      </c>
    </row>
    <row r="700" ht="13.5" customHeight="1" s="109">
      <c r="A700" s="72" t="inlineStr">
        <is>
          <t>https://www.instagram.com/p/DUI3QbCipI_/</t>
        </is>
      </c>
      <c r="B700" s="72" t="inlineStr">
        <is>
          <t>Politique &amp; Institutions</t>
        </is>
      </c>
      <c r="C700" s="72" t="inlineStr">
        <is>
          <t>Vie politique CH</t>
        </is>
      </c>
      <c r="D700" s="73" t="n">
        <v>50</v>
      </c>
      <c r="E700" s="73" t="inlineStr">
        <is>
          <t>N</t>
        </is>
      </c>
      <c r="F700" s="72" t="inlineStr">
        <is>
          <t>Reportage factuel sur les controverses d'une conseillère d'État, sans prise de position.</t>
        </is>
      </c>
      <c r="G700" s="73" t="inlineStr">
        <is>
          <t>Non</t>
        </is>
      </c>
      <c r="H700" s="72" t="n"/>
      <c r="I700" s="73" t="n">
        <v>0</v>
      </c>
      <c r="J700" s="73" t="n">
        <v>9</v>
      </c>
      <c r="K700" s="74">
        <f>IFERROR(I700/J700,0)</f>
        <v/>
      </c>
      <c r="L700" s="73" t="n">
        <v>133</v>
      </c>
      <c r="M700" s="73" t="n">
        <v>1270</v>
      </c>
      <c r="N700" s="73" t="n">
        <v>94978</v>
      </c>
      <c r="O700" s="72" t="inlineStr">
        <is>
          <t>Video</t>
        </is>
      </c>
    </row>
    <row r="701" ht="13.5" customHeight="1" s="109">
      <c r="A701" s="35" t="inlineStr">
        <is>
          <t>https://www.instagram.com/p/DUIr_j7jVfQ/</t>
        </is>
      </c>
      <c r="B701" s="35" t="inlineStr">
        <is>
          <t>Societe &amp; Droits</t>
        </is>
      </c>
      <c r="C701" s="35" t="inlineStr">
        <is>
          <t>Faits de societe</t>
        </is>
      </c>
      <c r="D701" s="36" t="n">
        <v>48</v>
      </c>
      <c r="E701" s="36" t="inlineStr">
        <is>
          <t>N</t>
        </is>
      </c>
      <c r="F701" s="35" t="inlineStr">
        <is>
          <t>Média de service public, reportage scientifique neutre sur une adaptation humaine.</t>
        </is>
      </c>
      <c r="G701" s="36" t="inlineStr">
        <is>
          <t>Non</t>
        </is>
      </c>
      <c r="H701" s="35" t="n"/>
      <c r="I701" s="36" t="n">
        <v>0</v>
      </c>
      <c r="J701" s="36" t="n">
        <v>4</v>
      </c>
      <c r="K701" s="74">
        <f>IFERROR(I701/J701,0)</f>
        <v/>
      </c>
      <c r="L701" s="36" t="n">
        <v>38</v>
      </c>
      <c r="M701" s="36" t="n">
        <v>5054</v>
      </c>
      <c r="N701" s="36" t="n">
        <v>0</v>
      </c>
      <c r="O701" s="35" t="inlineStr">
        <is>
          <t>Image_Carrousel</t>
        </is>
      </c>
    </row>
    <row r="702" ht="13.5" customHeight="1" s="109">
      <c r="A702" s="72" t="inlineStr">
        <is>
          <t>https://www.instagram.com/p/DUGwXwNDLT9/</t>
        </is>
      </c>
      <c r="B702" s="72" t="inlineStr">
        <is>
          <t>Securite &amp; Justice</t>
        </is>
      </c>
      <c r="C702" s="72" t="inlineStr">
        <is>
          <t>Justice</t>
        </is>
      </c>
      <c r="D702" s="73" t="n">
        <v>50</v>
      </c>
      <c r="E702" s="73" t="inlineStr">
        <is>
          <t>N</t>
        </is>
      </c>
      <c r="F702" s="72" t="inlineStr">
        <is>
          <t>RTS est un média public suisse, visant la neutralité et l'information factuelle.</t>
        </is>
      </c>
      <c r="G702" s="73" t="inlineStr">
        <is>
          <t>Non</t>
        </is>
      </c>
      <c r="H702" s="72" t="n"/>
      <c r="I702" s="73" t="n">
        <v>0</v>
      </c>
      <c r="J702" s="73" t="n">
        <v>3</v>
      </c>
      <c r="K702" s="74">
        <f>IFERROR(I702/J702,0)</f>
        <v/>
      </c>
      <c r="L702" s="73" t="n">
        <v>3</v>
      </c>
      <c r="M702" s="73" t="n">
        <v>606</v>
      </c>
      <c r="N702" s="73" t="n">
        <v>13913</v>
      </c>
      <c r="O702" s="72" t="inlineStr">
        <is>
          <t>Video</t>
        </is>
      </c>
    </row>
    <row r="703" ht="13.5" customHeight="1" s="109">
      <c r="A703" s="35" t="inlineStr">
        <is>
          <t>https://www.instagram.com/p/DUKubxUgTl2/</t>
        </is>
      </c>
      <c r="B703" s="35" t="inlineStr">
        <is>
          <t>Societe &amp; Droits</t>
        </is>
      </c>
      <c r="C703" s="35" t="inlineStr">
        <is>
          <t>Faits de societe</t>
        </is>
      </c>
      <c r="D703" s="36" t="n">
        <v>50</v>
      </c>
      <c r="E703" s="36" t="inlineStr">
        <is>
          <t>N</t>
        </is>
      </c>
      <c r="F703" s="35" t="inlineStr">
        <is>
          <t>RTS, service public. Récit humain d'une victime, visant l'empathie, non politique.</t>
        </is>
      </c>
      <c r="G703" s="36" t="inlineStr">
        <is>
          <t>Non</t>
        </is>
      </c>
      <c r="H703" s="35" t="n"/>
      <c r="I703" s="36" t="n">
        <v>0</v>
      </c>
      <c r="J703" s="36" t="n">
        <v>10</v>
      </c>
      <c r="K703" s="74">
        <f>IFERROR(I703/J703,0)</f>
        <v/>
      </c>
      <c r="L703" s="36" t="n">
        <v>218</v>
      </c>
      <c r="M703" s="36" t="n">
        <v>23396</v>
      </c>
      <c r="N703" s="36" t="n">
        <v>336809</v>
      </c>
      <c r="O703" s="35" t="inlineStr">
        <is>
          <t>Video</t>
        </is>
      </c>
    </row>
    <row r="704" ht="13.5" customHeight="1" s="109">
      <c r="A704" s="72" t="inlineStr">
        <is>
          <t>https://www.instagram.com/p/DUJHdE4AXeU/</t>
        </is>
      </c>
      <c r="B704" s="72" t="inlineStr">
        <is>
          <t>International</t>
        </is>
      </c>
      <c r="C704" s="72" t="inlineStr">
        <is>
          <t>Conflits</t>
        </is>
      </c>
      <c r="D704" s="73" t="n">
        <v>40</v>
      </c>
      <c r="E704" s="73" t="inlineStr">
        <is>
          <t>N</t>
        </is>
      </c>
      <c r="F704" s="72" t="inlineStr">
        <is>
          <t>RTS met en lumière la résistance de femmes kurdes, soulignant leur dignité face à l'oppression.</t>
        </is>
      </c>
      <c r="G704" s="73" t="inlineStr">
        <is>
          <t>Oui</t>
        </is>
      </c>
      <c r="H704" s="72" t="inlineStr">
        <is>
          <t>Commentaire suggère une vision simplifiée du conflit kurde par le média.</t>
        </is>
      </c>
      <c r="I704" s="73" t="n">
        <v>1</v>
      </c>
      <c r="J704" s="73" t="n">
        <v>8</v>
      </c>
      <c r="K704" s="74">
        <f>IFERROR(I704/J704,0)</f>
        <v/>
      </c>
      <c r="L704" s="73" t="n">
        <v>137</v>
      </c>
      <c r="M704" s="73" t="n">
        <v>8292</v>
      </c>
      <c r="N704" s="73" t="n">
        <v>115308</v>
      </c>
      <c r="O704" s="72" t="inlineStr">
        <is>
          <t>Video</t>
        </is>
      </c>
    </row>
    <row r="705" ht="13.5" customHeight="1" s="109">
      <c r="A705" s="35" t="inlineStr">
        <is>
          <t>https://www.instagram.com/p/DUGpcsGDyJz/</t>
        </is>
      </c>
      <c r="B705" s="35" t="inlineStr">
        <is>
          <t>Societe &amp; Droits</t>
        </is>
      </c>
      <c r="C705" s="35" t="inlineStr">
        <is>
          <t>Faits de societe</t>
        </is>
      </c>
      <c r="D705" s="36" t="n">
        <v>40</v>
      </c>
      <c r="E705" s="36" t="inlineStr">
        <is>
          <t>G</t>
        </is>
      </c>
      <c r="F705" s="35" t="inlineStr">
        <is>
          <t>RTS, service public, sujet sociétal centré sur le bien-être et l'entraide collective.</t>
        </is>
      </c>
      <c r="G705" s="36" t="inlineStr">
        <is>
          <t>Non</t>
        </is>
      </c>
      <c r="H705" s="35" t="n"/>
      <c r="I705" s="36" t="n">
        <v>0</v>
      </c>
      <c r="J705" s="36" t="n">
        <v>7</v>
      </c>
      <c r="K705" s="74">
        <f>IFERROR(I705/J705,0)</f>
        <v/>
      </c>
      <c r="L705" s="36" t="n">
        <v>135</v>
      </c>
      <c r="M705" s="36" t="n">
        <v>11544</v>
      </c>
      <c r="N705" s="36" t="n">
        <v>0</v>
      </c>
      <c r="O705" s="35" t="inlineStr">
        <is>
          <t>Image_Carrousel</t>
        </is>
      </c>
    </row>
    <row r="706" ht="13.5" customHeight="1" s="109">
      <c r="A706" s="72" t="inlineStr">
        <is>
          <t>https://www.instagram.com/p/DUH1BnLjGSE/</t>
        </is>
      </c>
      <c r="B706" s="72" t="inlineStr">
        <is>
          <t>Culture &amp; Loisirs</t>
        </is>
      </c>
      <c r="C706" s="72" t="inlineStr">
        <is>
          <t>Sport</t>
        </is>
      </c>
      <c r="D706" s="73" t="n">
        <v>50</v>
      </c>
      <c r="E706" s="73" t="inlineStr">
        <is>
          <t>N</t>
        </is>
      </c>
      <c r="F706" s="72" t="inlineStr">
        <is>
          <t>Reportage descriptif neutre sur un athlète, un sport extrême et impact local.</t>
        </is>
      </c>
      <c r="G706" s="73" t="inlineStr">
        <is>
          <t>Oui</t>
        </is>
      </c>
      <c r="H706" s="72" t="inlineStr">
        <is>
          <t>Erreur géographique et langage perçu comme limite pour le média.</t>
        </is>
      </c>
      <c r="I706" s="73" t="n">
        <v>5</v>
      </c>
      <c r="J706" s="73" t="n">
        <v>10</v>
      </c>
      <c r="K706" s="74">
        <f>IFERROR(I706/J706,0)</f>
        <v/>
      </c>
      <c r="L706" s="73" t="n">
        <v>26</v>
      </c>
      <c r="M706" s="73" t="n">
        <v>7022</v>
      </c>
      <c r="N706" s="73" t="n">
        <v>86571</v>
      </c>
      <c r="O706" s="72" t="inlineStr">
        <is>
          <t>Video</t>
        </is>
      </c>
    </row>
    <row r="707" ht="13.5" customHeight="1" s="109">
      <c r="A707" s="35" t="inlineStr">
        <is>
          <t>https://www.instagram.com/p/DUIeRqLDhtW/</t>
        </is>
      </c>
      <c r="B707" s="35" t="inlineStr">
        <is>
          <t>Environnement &amp; Nature</t>
        </is>
      </c>
      <c r="C707" s="35" t="inlineStr">
        <is>
          <t>Climat / Ecologie</t>
        </is>
      </c>
      <c r="D707" s="36" t="n">
        <v>50</v>
      </c>
      <c r="E707" s="36" t="inlineStr">
        <is>
          <t>N</t>
        </is>
      </c>
      <c r="F707" s="35" t="inlineStr">
        <is>
          <t>RTS rapporte une décision politique factuelle, ton neutre et informatif.</t>
        </is>
      </c>
      <c r="G707" s="36" t="inlineStr">
        <is>
          <t>Non</t>
        </is>
      </c>
      <c r="H707" s="35" t="n"/>
      <c r="I707" s="36" t="n">
        <v>0</v>
      </c>
      <c r="J707" s="36" t="n">
        <v>7</v>
      </c>
      <c r="K707" s="74">
        <f>IFERROR(I707/J707,0)</f>
        <v/>
      </c>
      <c r="L707" s="36" t="n">
        <v>114</v>
      </c>
      <c r="M707" s="36" t="n">
        <v>8583</v>
      </c>
      <c r="N707" s="36" t="n">
        <v>0</v>
      </c>
      <c r="O707" s="35" t="inlineStr">
        <is>
          <t>Image_Carrousel</t>
        </is>
      </c>
    </row>
    <row r="708" ht="13.5" customHeight="1" s="109">
      <c r="A708" s="72" t="inlineStr">
        <is>
          <t>https://www.instagram.com/p/DUISVN7jgfv/</t>
        </is>
      </c>
      <c r="B708" s="72" t="inlineStr">
        <is>
          <t>Politique &amp; Institutions</t>
        </is>
      </c>
      <c r="C708" s="72" t="inlineStr">
        <is>
          <t>Votations</t>
        </is>
      </c>
      <c r="D708" s="73" t="n">
        <v>50</v>
      </c>
      <c r="E708" s="73" t="inlineStr">
        <is>
          <t>N</t>
        </is>
      </c>
      <c r="F708" s="72" t="inlineStr">
        <is>
          <t>RTS Info présente les sondages des votations de manière factuelle, sans biais apparent.</t>
        </is>
      </c>
      <c r="G708" s="73" t="inlineStr">
        <is>
          <t>Non</t>
        </is>
      </c>
      <c r="H708" s="72" t="n"/>
      <c r="I708" s="73" t="n">
        <v>0</v>
      </c>
      <c r="J708" s="73" t="n">
        <v>0</v>
      </c>
      <c r="K708" s="74">
        <f>IFERROR(I708/J708,0)</f>
        <v/>
      </c>
      <c r="L708" s="73" t="n">
        <v>215</v>
      </c>
      <c r="M708" s="73" t="n">
        <v>2303</v>
      </c>
      <c r="N708" s="73" t="n">
        <v>0</v>
      </c>
      <c r="O708" s="72" t="inlineStr">
        <is>
          <t>Image_Carrousel</t>
        </is>
      </c>
    </row>
    <row r="709" ht="13.5" customHeight="1" s="109">
      <c r="A709" s="35" t="inlineStr">
        <is>
          <t>https://www.instagram.com/p/DUIlJXtj6fh/</t>
        </is>
      </c>
      <c r="B709" s="35" t="inlineStr">
        <is>
          <t>Societe &amp; Droits</t>
        </is>
      </c>
      <c r="C709" s="35" t="inlineStr">
        <is>
          <t>Immigration</t>
        </is>
      </c>
      <c r="D709" s="36" t="n">
        <v>50</v>
      </c>
      <c r="E709" s="36" t="inlineStr">
        <is>
          <t>N</t>
        </is>
      </c>
      <c r="F709" s="35" t="inlineStr">
        <is>
          <t>RTSinfo présente des statistiques factuelles sur l'asile sans biais manifeste.</t>
        </is>
      </c>
      <c r="G709" s="36" t="inlineStr">
        <is>
          <t>Non</t>
        </is>
      </c>
      <c r="H709" s="35" t="inlineStr">
        <is>
          <t>Aucune critique du média relevée dans les commentaires.</t>
        </is>
      </c>
      <c r="I709" s="36" t="n">
        <v>0</v>
      </c>
      <c r="J709" s="36" t="n">
        <v>2</v>
      </c>
      <c r="K709" s="74">
        <f>IFERROR(I709/J709,0)</f>
        <v/>
      </c>
      <c r="L709" s="36" t="n">
        <v>103</v>
      </c>
      <c r="M709" s="36" t="n">
        <v>2566</v>
      </c>
      <c r="N709" s="36" t="n">
        <v>0</v>
      </c>
      <c r="O709" s="35" t="inlineStr">
        <is>
          <t>Image_Carrousel</t>
        </is>
      </c>
    </row>
    <row r="710" ht="13.5" customHeight="1" s="109">
      <c r="A710" s="72" t="inlineStr">
        <is>
          <t>https://www.instagram.com/p/DUJOQ3MDz7h/</t>
        </is>
      </c>
      <c r="B710" s="72" t="inlineStr">
        <is>
          <t>Sante</t>
        </is>
      </c>
      <c r="C710" s="72" t="inlineStr">
        <is>
          <t>Sante publique</t>
        </is>
      </c>
      <c r="D710" s="73" t="n">
        <v>45</v>
      </c>
      <c r="E710" s="73" t="inlineStr">
        <is>
          <t>N</t>
        </is>
      </c>
      <c r="F710" s="72" t="inlineStr">
        <is>
          <t>RTS Info rapporte factuellement une action de défense des consommateurs, typique d'un média de service public.</t>
        </is>
      </c>
      <c r="G710" s="73" t="inlineStr">
        <is>
          <t>Oui</t>
        </is>
      </c>
      <c r="H710" s="72" t="inlineStr">
        <is>
          <t>Image potentiellement trompeuse, manque de précisions pour l'audience suisse.</t>
        </is>
      </c>
      <c r="I710" s="73" t="n">
        <v>3</v>
      </c>
      <c r="J710" s="73" t="n">
        <v>8</v>
      </c>
      <c r="K710" s="74">
        <f>IFERROR(I710/J710,0)</f>
        <v/>
      </c>
      <c r="L710" s="73" t="n">
        <v>16</v>
      </c>
      <c r="M710" s="73" t="n">
        <v>942</v>
      </c>
      <c r="N710" s="73" t="n">
        <v>0</v>
      </c>
      <c r="O710" s="72" t="inlineStr">
        <is>
          <t>Image_Carrousel</t>
        </is>
      </c>
    </row>
    <row r="711" ht="13.5" customHeight="1" s="109">
      <c r="A711" s="35" t="inlineStr">
        <is>
          <t>https://www.instagram.com/p/DUIcC5TAkc9/</t>
        </is>
      </c>
      <c r="B711" s="35" t="inlineStr">
        <is>
          <t>Culture &amp; Loisirs</t>
        </is>
      </c>
      <c r="C711" s="35" t="inlineStr">
        <is>
          <t>Sport</t>
        </is>
      </c>
      <c r="D711" s="36" t="n">
        <v>50</v>
      </c>
      <c r="E711" s="36" t="inlineStr">
        <is>
          <t>N</t>
        </is>
      </c>
      <c r="F711" s="35" t="inlineStr">
        <is>
          <t>RTS est un média de service public, ATS une agence de presse factuelle.</t>
        </is>
      </c>
      <c r="G711" s="36" t="inlineStr">
        <is>
          <t>Oui</t>
        </is>
      </c>
      <c r="H711" s="35" t="inlineStr">
        <is>
          <t>Un commentaire conteste la pertinence du sujet.</t>
        </is>
      </c>
      <c r="I711" s="36" t="n">
        <v>1</v>
      </c>
      <c r="J711" s="36" t="n">
        <v>2</v>
      </c>
      <c r="K711" s="74">
        <f>IFERROR(I711/J711,0)</f>
        <v/>
      </c>
      <c r="L711" s="36" t="n">
        <v>93</v>
      </c>
      <c r="M711" s="36" t="n">
        <v>7203</v>
      </c>
      <c r="N711" s="36" t="n">
        <v>0</v>
      </c>
      <c r="O711" s="35" t="inlineStr">
        <is>
          <t>Image_Carrousel</t>
        </is>
      </c>
    </row>
    <row r="712" ht="13.5" customHeight="1" s="109">
      <c r="A712" s="72" t="inlineStr">
        <is>
          <t>https://www.instagram.com/p/DUICtLOj-To/</t>
        </is>
      </c>
      <c r="B712" s="72" t="inlineStr">
        <is>
          <t>International</t>
        </is>
      </c>
      <c r="C712" s="72" t="inlineStr">
        <is>
          <t>Geopolitique</t>
        </is>
      </c>
      <c r="D712" s="73" t="n">
        <v>50</v>
      </c>
      <c r="E712" s="73" t="inlineStr">
        <is>
          <t>N</t>
        </is>
      </c>
      <c r="F712" s="72" t="inlineStr">
        <is>
          <t>Reportage factuel sur un acte de protestation politique et culturel.</t>
        </is>
      </c>
      <c r="G712" s="73" t="inlineStr">
        <is>
          <t>Non</t>
        </is>
      </c>
      <c r="H712" s="72" t="n"/>
      <c r="I712" s="73" t="n">
        <v>0</v>
      </c>
      <c r="J712" s="73" t="n">
        <v>10</v>
      </c>
      <c r="K712" s="74">
        <f>IFERROR(I712/J712,0)</f>
        <v/>
      </c>
      <c r="L712" s="73" t="n">
        <v>17</v>
      </c>
      <c r="M712" s="73" t="n">
        <v>2706</v>
      </c>
      <c r="N712" s="73" t="n">
        <v>0</v>
      </c>
      <c r="O712" s="72" t="inlineStr">
        <is>
          <t>Image_Carrousel</t>
        </is>
      </c>
    </row>
    <row r="713" ht="13.5" customHeight="1" s="109">
      <c r="A713" s="35" t="inlineStr">
        <is>
          <t>https://www.instagram.com/p/DUH72pZiMcS/</t>
        </is>
      </c>
      <c r="B713" s="35" t="inlineStr">
        <is>
          <t>Sante</t>
        </is>
      </c>
      <c r="C713" s="35" t="inlineStr">
        <is>
          <t>Sante publique</t>
        </is>
      </c>
      <c r="D713" s="36" t="n">
        <v>35</v>
      </c>
      <c r="E713" s="36" t="inlineStr">
        <is>
          <t>G</t>
        </is>
      </c>
      <c r="F713" s="35" t="inlineStr">
        <is>
          <t>Article factuel sur la santé des femmes, appelant à une meilleure prise en charge.</t>
        </is>
      </c>
      <c r="G713" s="36" t="inlineStr">
        <is>
          <t>Oui</t>
        </is>
      </c>
      <c r="H713" s="35" t="inlineStr">
        <is>
          <t>Critique la médicalisation, le ton négatif et le choix du sujet par le média.</t>
        </is>
      </c>
      <c r="I713" s="36" t="n">
        <v>3</v>
      </c>
      <c r="J713" s="36" t="n">
        <v>8</v>
      </c>
      <c r="K713" s="74">
        <f>IFERROR(I713/J713,0)</f>
        <v/>
      </c>
      <c r="L713" s="36" t="n">
        <v>32</v>
      </c>
      <c r="M713" s="36" t="n">
        <v>4039</v>
      </c>
      <c r="N713" s="36" t="n">
        <v>0</v>
      </c>
      <c r="O713" s="35" t="inlineStr">
        <is>
          <t>Image_Carrousel</t>
        </is>
      </c>
    </row>
    <row r="714" ht="13.5" customHeight="1" s="109">
      <c r="A714" s="72" t="inlineStr">
        <is>
          <t>https://www.instagram.com/p/DUD6YUYgtht/</t>
        </is>
      </c>
      <c r="B714" s="72" t="inlineStr">
        <is>
          <t>Culture &amp; Loisirs</t>
        </is>
      </c>
      <c r="C714" s="72" t="inlineStr">
        <is>
          <t>Sport</t>
        </is>
      </c>
      <c r="D714" s="73" t="n">
        <v>45</v>
      </c>
      <c r="E714" s="73" t="inlineStr">
        <is>
          <t>N</t>
        </is>
      </c>
      <c r="F714" s="72" t="inlineStr">
        <is>
          <t>Factual reporting by public media, neutral tone, focusing on sports news.</t>
        </is>
      </c>
      <c r="G714" s="73" t="inlineStr">
        <is>
          <t>Non</t>
        </is>
      </c>
      <c r="H714" s="72" t="n"/>
      <c r="I714" s="73" t="n">
        <v>0</v>
      </c>
      <c r="J714" s="73" t="n">
        <v>7</v>
      </c>
      <c r="K714" s="74">
        <f>IFERROR(I714/J714,0)</f>
        <v/>
      </c>
      <c r="L714" s="73" t="n">
        <v>8</v>
      </c>
      <c r="M714" s="73" t="n">
        <v>2094</v>
      </c>
      <c r="N714" s="73" t="n">
        <v>0</v>
      </c>
      <c r="O714" s="72" t="inlineStr">
        <is>
          <t>Image_Carrousel</t>
        </is>
      </c>
    </row>
    <row r="715" ht="13.5" customHeight="1" s="109">
      <c r="A715" s="35" t="inlineStr">
        <is>
          <t>https://www.instagram.com/p/DUEEv-mCkkJ/</t>
        </is>
      </c>
      <c r="B715" s="35" t="inlineStr">
        <is>
          <t>Societe &amp; Droits</t>
        </is>
      </c>
      <c r="C715" s="35" t="inlineStr">
        <is>
          <t>Questions de Genre</t>
        </is>
      </c>
      <c r="D715" s="36" t="n">
        <v>35</v>
      </c>
      <c r="E715" s="36" t="inlineStr">
        <is>
          <t>N</t>
        </is>
      </c>
      <c r="F715" s="35" t="inlineStr">
        <is>
          <t>Service public suisse, article promeut l'inclusivité LGBT+ dans le sport, sujet sociétal moderne.</t>
        </is>
      </c>
      <c r="G715" s="36" t="inlineStr">
        <is>
          <t>Oui</t>
        </is>
      </c>
      <c r="H715" s="35" t="inlineStr">
        <is>
          <t>Le choix du sujet (yaoi, LGBT+) surprend l'audience pour un média comme RTS.</t>
        </is>
      </c>
      <c r="I715" s="36" t="n">
        <v>2</v>
      </c>
      <c r="J715" s="36" t="n">
        <v>5</v>
      </c>
      <c r="K715" s="74">
        <f>IFERROR(I715/J715,0)</f>
        <v/>
      </c>
      <c r="L715" s="36" t="n">
        <v>38</v>
      </c>
      <c r="M715" s="36" t="n">
        <v>3458</v>
      </c>
      <c r="N715" s="36" t="n">
        <v>61585</v>
      </c>
      <c r="O715" s="35" t="inlineStr">
        <is>
          <t>Video</t>
        </is>
      </c>
    </row>
    <row r="716" ht="13.5" customHeight="1" s="109">
      <c r="A716" s="72" t="inlineStr">
        <is>
          <t>https://www.instagram.com/p/DUFd7KDiIT1/</t>
        </is>
      </c>
      <c r="B716" s="72" t="inlineStr">
        <is>
          <t>Environnement &amp; Nature</t>
        </is>
      </c>
      <c r="C716" s="72" t="inlineStr">
        <is>
          <t>Climat / Ecologie</t>
        </is>
      </c>
      <c r="D716" s="73" t="n">
        <v>35</v>
      </c>
      <c r="E716" s="73" t="inlineStr">
        <is>
          <t>G</t>
        </is>
      </c>
      <c r="F716" s="72" t="inlineStr">
        <is>
          <t>Média public (RTS), approche informative sur le climat, sujet lié aux enjeux écologiques.</t>
        </is>
      </c>
      <c r="G716" s="73" t="inlineStr">
        <is>
          <t>Oui</t>
        </is>
      </c>
      <c r="H716" s="72" t="inlineStr">
        <is>
          <t>Imprécision mathématique/linguistique soulevée par un lecteur.</t>
        </is>
      </c>
      <c r="I716" s="73" t="n">
        <v>1</v>
      </c>
      <c r="J716" s="73" t="n">
        <v>4</v>
      </c>
      <c r="K716" s="74">
        <f>IFERROR(I716/J716,0)</f>
        <v/>
      </c>
      <c r="L716" s="73" t="n">
        <v>9</v>
      </c>
      <c r="M716" s="73" t="n">
        <v>4117</v>
      </c>
      <c r="N716" s="73" t="n">
        <v>0</v>
      </c>
      <c r="O716" s="72" t="inlineStr">
        <is>
          <t>Image_Carrousel</t>
        </is>
      </c>
    </row>
    <row r="717" ht="13.5" customHeight="1" s="109">
      <c r="A717" s="35" t="inlineStr">
        <is>
          <t>https://www.instagram.com/p/DUFvFJxgfMS/</t>
        </is>
      </c>
      <c r="B717" s="35" t="inlineStr">
        <is>
          <t>Securite &amp; Justice</t>
        </is>
      </c>
      <c r="C717" s="35" t="inlineStr">
        <is>
          <t>Justice</t>
        </is>
      </c>
      <c r="D717" s="36" t="n">
        <v>50</v>
      </c>
      <c r="E717" s="36" t="inlineStr">
        <is>
          <t>N</t>
        </is>
      </c>
      <c r="F717" s="35" t="inlineStr">
        <is>
          <t>RTS rapporte les faits judiciaires et politiques de manière neutre.</t>
        </is>
      </c>
      <c r="G717" s="36" t="inlineStr">
        <is>
          <t>Non</t>
        </is>
      </c>
      <c r="H717" s="35" t="inlineStr">
        <is>
          <t>Aucune critique directe du média dans les commentaires.</t>
        </is>
      </c>
      <c r="I717" s="36" t="n">
        <v>0</v>
      </c>
      <c r="J717" s="36" t="n">
        <v>3</v>
      </c>
      <c r="K717" s="74">
        <f>IFERROR(I717/J717,0)</f>
        <v/>
      </c>
      <c r="L717" s="36" t="n">
        <v>226</v>
      </c>
      <c r="M717" s="36" t="n">
        <v>3597</v>
      </c>
      <c r="N717" s="36" t="n">
        <v>0</v>
      </c>
      <c r="O717" s="35" t="inlineStr">
        <is>
          <t>Image_Carrousel</t>
        </is>
      </c>
    </row>
    <row r="718" ht="13.5" customHeight="1" s="109">
      <c r="A718" s="72" t="inlineStr">
        <is>
          <t>https://www.instagram.com/p/DUGZje5ioUh/</t>
        </is>
      </c>
      <c r="B718" s="72" t="inlineStr">
        <is>
          <t>International</t>
        </is>
      </c>
      <c r="C718" s="72" t="inlineStr">
        <is>
          <t>Geopolitique</t>
        </is>
      </c>
      <c r="D718" s="73" t="n">
        <v>40</v>
      </c>
      <c r="E718" s="73" t="inlineStr">
        <is>
          <t>N</t>
        </is>
      </c>
      <c r="F718" s="72" t="inlineStr">
        <is>
          <t>Reportage factuel par média de service public, axé sur les droits humains internationaux.</t>
        </is>
      </c>
      <c r="G718" s="73" t="inlineStr">
        <is>
          <t>Non</t>
        </is>
      </c>
      <c r="H718" s="72" t="n"/>
      <c r="I718" s="73" t="n">
        <v>0</v>
      </c>
      <c r="J718" s="73" t="n">
        <v>4</v>
      </c>
      <c r="K718" s="74">
        <f>IFERROR(I718/J718,0)</f>
        <v/>
      </c>
      <c r="L718" s="73" t="n">
        <v>209</v>
      </c>
      <c r="M718" s="73" t="n">
        <v>2767</v>
      </c>
      <c r="N718" s="73" t="n">
        <v>0</v>
      </c>
      <c r="O718" s="72" t="inlineStr">
        <is>
          <t>Image_Carrousel</t>
        </is>
      </c>
    </row>
    <row r="719" ht="13.5" customHeight="1" s="109">
      <c r="A719" s="35" t="inlineStr">
        <is>
          <t>https://www.instagram.com/p/DUFQT_SAuGI/</t>
        </is>
      </c>
      <c r="B719" s="35" t="inlineStr">
        <is>
          <t>Environnement &amp; Nature</t>
        </is>
      </c>
      <c r="C719" s="35" t="inlineStr">
        <is>
          <t>Climat / Ecologie</t>
        </is>
      </c>
      <c r="D719" s="36" t="n">
        <v>50</v>
      </c>
      <c r="E719" s="36" t="inlineStr">
        <is>
          <t>N</t>
        </is>
      </c>
      <c r="F719" s="35" t="inlineStr">
        <is>
          <t>Description factuelle et équilibrée d'une pratique d'adaptation aux changements climatiques.</t>
        </is>
      </c>
      <c r="G719" s="36" t="inlineStr">
        <is>
          <t>Oui</t>
        </is>
      </c>
      <c r="H719" s="35" t="inlineStr">
        <is>
          <t>Manque de développement et d'informations supplémentaires sur le sujet abordé.</t>
        </is>
      </c>
      <c r="I719" s="36" t="n">
        <v>1</v>
      </c>
      <c r="J719" s="36" t="n">
        <v>5</v>
      </c>
      <c r="K719" s="74">
        <f>IFERROR(I719/J719,0)</f>
        <v/>
      </c>
      <c r="L719" s="36" t="n">
        <v>27</v>
      </c>
      <c r="M719" s="36" t="n">
        <v>2435</v>
      </c>
      <c r="N719" s="36" t="n">
        <v>60716</v>
      </c>
      <c r="O719" s="35" t="inlineStr">
        <is>
          <t>Video</t>
        </is>
      </c>
    </row>
    <row r="720" ht="13.5" customHeight="1" s="109">
      <c r="A720" s="72" t="inlineStr">
        <is>
          <t>https://www.instagram.com/p/DUGAYIXjp3Z/</t>
        </is>
      </c>
      <c r="B720" s="72" t="inlineStr">
        <is>
          <t>International</t>
        </is>
      </c>
      <c r="C720" s="72" t="inlineStr">
        <is>
          <t>Geopolitique</t>
        </is>
      </c>
      <c r="D720" s="73" t="n">
        <v>50</v>
      </c>
      <c r="E720" s="73" t="inlineStr">
        <is>
          <t>N</t>
        </is>
      </c>
      <c r="F720" s="72" t="inlineStr">
        <is>
          <t>RTS, média public suisse, adopte une approche factuelle et équilibrée du sujet.</t>
        </is>
      </c>
      <c r="G720" s="73" t="inlineStr">
        <is>
          <t>Oui</t>
        </is>
      </c>
      <c r="H720" s="72" t="inlineStr">
        <is>
          <t>Un commentaire accuse l'information de propagande du PCC.</t>
        </is>
      </c>
      <c r="I720" s="73" t="n">
        <v>1</v>
      </c>
      <c r="J720" s="73" t="n">
        <v>6</v>
      </c>
      <c r="K720" s="74">
        <f>IFERROR(I720/J720,0)</f>
        <v/>
      </c>
      <c r="L720" s="73" t="n">
        <v>12</v>
      </c>
      <c r="M720" s="73" t="n">
        <v>1160</v>
      </c>
      <c r="N720" s="73" t="n">
        <v>21941</v>
      </c>
      <c r="O720" s="72" t="inlineStr">
        <is>
          <t>Video</t>
        </is>
      </c>
    </row>
    <row r="721" ht="13.5" customHeight="1" s="109">
      <c r="A721" s="35" t="inlineStr">
        <is>
          <t>https://www.instagram.com/p/DUF6DRADhF3/</t>
        </is>
      </c>
      <c r="B721" s="35" t="inlineStr">
        <is>
          <t>Securite &amp; Justice</t>
        </is>
      </c>
      <c r="C721" s="35" t="inlineStr">
        <is>
          <t>Justice</t>
        </is>
      </c>
      <c r="D721" s="36" t="n">
        <v>45</v>
      </c>
      <c r="E721" s="36" t="inlineStr">
        <is>
          <t>N</t>
        </is>
      </c>
      <c r="F721" s="35" t="inlineStr">
        <is>
          <t>RTS, service public, article factuel sur procédure judiciaire, impartial.</t>
        </is>
      </c>
      <c r="G721" s="36" t="inlineStr">
        <is>
          <t>Non</t>
        </is>
      </c>
      <c r="H721" s="35" t="n"/>
      <c r="I721" s="36" t="n">
        <v>0</v>
      </c>
      <c r="J721" s="36" t="n">
        <v>6</v>
      </c>
      <c r="K721" s="74">
        <f>IFERROR(I721/J721,0)</f>
        <v/>
      </c>
      <c r="L721" s="36" t="n">
        <v>83</v>
      </c>
      <c r="M721" s="36" t="n">
        <v>4554</v>
      </c>
      <c r="N721" s="36" t="n">
        <v>0</v>
      </c>
      <c r="O721" s="35" t="inlineStr">
        <is>
          <t>Image_Carrousel</t>
        </is>
      </c>
    </row>
    <row r="722" ht="13.5" customHeight="1" s="109">
      <c r="A722" s="72" t="inlineStr">
        <is>
          <t>https://www.instagram.com/p/DUD2-TZjwPb/</t>
        </is>
      </c>
      <c r="B722" s="72" t="inlineStr">
        <is>
          <t>International</t>
        </is>
      </c>
      <c r="C722" s="72" t="inlineStr">
        <is>
          <t>Geopolitique</t>
        </is>
      </c>
      <c r="D722" s="73" t="n">
        <v>40</v>
      </c>
      <c r="E722" s="73" t="inlineStr">
        <is>
          <t>G</t>
        </is>
      </c>
      <c r="F722" s="72" t="inlineStr">
        <is>
          <t>Analyse risques globaux, souligne nécessité coopération internationale face nationalisme et menaces.</t>
        </is>
      </c>
      <c r="G722" s="73" t="inlineStr">
        <is>
          <t>Non</t>
        </is>
      </c>
      <c r="H722" s="72" t="inlineStr">
        <is>
          <t>Aucun commentaire ne critique le média directement ou indirectement.</t>
        </is>
      </c>
      <c r="I722" s="73" t="n">
        <v>0</v>
      </c>
      <c r="J722" s="73" t="n">
        <v>6</v>
      </c>
      <c r="K722" s="74">
        <f>IFERROR(I722/J722,0)</f>
        <v/>
      </c>
      <c r="L722" s="73" t="n">
        <v>91</v>
      </c>
      <c r="M722" s="73" t="n">
        <v>4225</v>
      </c>
      <c r="N722" s="73" t="n">
        <v>70037</v>
      </c>
      <c r="O722" s="72" t="inlineStr">
        <is>
          <t>Video</t>
        </is>
      </c>
    </row>
    <row r="723" ht="13.5" customHeight="1" s="109">
      <c r="A723" s="35" t="inlineStr">
        <is>
          <t>https://www.instagram.com/p/DUNhSX9CsBi/</t>
        </is>
      </c>
      <c r="B723" s="35" t="inlineStr">
        <is>
          <t>International</t>
        </is>
      </c>
      <c r="C723" s="35" t="inlineStr">
        <is>
          <t>Conflits</t>
        </is>
      </c>
      <c r="D723" s="36" t="n">
        <v>30</v>
      </c>
      <c r="E723" s="36" t="inlineStr">
        <is>
          <t>G</t>
        </is>
      </c>
      <c r="F723" s="35" t="inlineStr">
        <is>
          <t>RTS, média public, couverture factuelle d'une mobilisation pour une cause humanitaire.</t>
        </is>
      </c>
      <c r="G723" s="36" t="inlineStr">
        <is>
          <t>Non</t>
        </is>
      </c>
      <c r="H723" s="35" t="n"/>
      <c r="I723" s="36" t="n">
        <v>0</v>
      </c>
      <c r="J723" s="36" t="n">
        <v>4</v>
      </c>
      <c r="K723" s="74">
        <f>IFERROR(I723/J723,0)</f>
        <v/>
      </c>
      <c r="L723" s="36" t="n">
        <v>205</v>
      </c>
      <c r="M723" s="36" t="n">
        <v>6337</v>
      </c>
      <c r="N723" s="36" t="n">
        <v>0</v>
      </c>
      <c r="O723" s="35" t="inlineStr">
        <is>
          <t>Image_Carrousel</t>
        </is>
      </c>
    </row>
    <row r="724" ht="13.5" customHeight="1" s="109">
      <c r="A724" s="72" t="inlineStr">
        <is>
          <t>https://www.instagram.com/p/DUDxyFlDJYO/</t>
        </is>
      </c>
      <c r="B724" s="72" t="inlineStr">
        <is>
          <t>Politique &amp; Institutions</t>
        </is>
      </c>
      <c r="C724" s="72" t="inlineStr">
        <is>
          <t>Votations</t>
        </is>
      </c>
      <c r="D724" s="73" t="n">
        <v>48</v>
      </c>
      <c r="E724" s="73" t="inlineStr">
        <is>
          <t>N</t>
        </is>
      </c>
      <c r="F724" s="72" t="inlineStr">
        <is>
          <t>RTSinfo est un média public, l'article est informatif et factuel, sans biais apparent.</t>
        </is>
      </c>
      <c r="G724" s="73" t="inlineStr">
        <is>
          <t>Non</t>
        </is>
      </c>
      <c r="H724" s="72" t="n"/>
      <c r="I724" s="73" t="n">
        <v>0</v>
      </c>
      <c r="J724" s="73" t="n">
        <v>6</v>
      </c>
      <c r="K724" s="74">
        <f>IFERROR(I724/J724,0)</f>
        <v/>
      </c>
      <c r="L724" s="73" t="n">
        <v>378</v>
      </c>
      <c r="M724" s="73" t="n">
        <v>4582</v>
      </c>
      <c r="N724" s="73" t="n">
        <v>0</v>
      </c>
      <c r="O724" s="72" t="inlineStr">
        <is>
          <t>Image_Carrousel</t>
        </is>
      </c>
    </row>
    <row r="725" ht="13.5" customHeight="1" s="109">
      <c r="A725" s="35" t="inlineStr">
        <is>
          <t>https://www.instagram.com/p/DUDKZr9El4A/</t>
        </is>
      </c>
      <c r="B725" s="35" t="inlineStr">
        <is>
          <t>Societe &amp; Droits</t>
        </is>
      </c>
      <c r="C725" s="35" t="inlineStr">
        <is>
          <t>Questions de Genre</t>
        </is>
      </c>
      <c r="D725" s="36" t="n">
        <v>40</v>
      </c>
      <c r="E725" s="36" t="inlineStr">
        <is>
          <t>G</t>
        </is>
      </c>
      <c r="F725" s="35" t="inlineStr">
        <is>
          <t>Média public traitant un sujet social sensible avec l'éclairage d'un expert.</t>
        </is>
      </c>
      <c r="G725" s="36" t="inlineStr">
        <is>
          <t>Oui</t>
        </is>
      </c>
      <c r="H725" s="35" t="inlineStr">
        <is>
          <t>Remet en question l'opposition virilité/homosexualité, suggérant un biais.</t>
        </is>
      </c>
      <c r="I725" s="36" t="n">
        <v>1</v>
      </c>
      <c r="J725" s="36" t="n">
        <v>6</v>
      </c>
      <c r="K725" s="74">
        <f>IFERROR(I725/J725,0)</f>
        <v/>
      </c>
      <c r="L725" s="36" t="n">
        <v>60</v>
      </c>
      <c r="M725" s="36" t="n">
        <v>2308</v>
      </c>
      <c r="N725" s="36" t="n">
        <v>58951</v>
      </c>
      <c r="O725" s="35" t="inlineStr">
        <is>
          <t>Video</t>
        </is>
      </c>
    </row>
    <row r="726" ht="13.5" customHeight="1" s="109">
      <c r="A726" s="72" t="inlineStr">
        <is>
          <t>https://www.instagram.com/p/DUBmukwDWz4/</t>
        </is>
      </c>
      <c r="B726" s="72" t="inlineStr">
        <is>
          <t>International</t>
        </is>
      </c>
      <c r="C726" s="72" t="inlineStr">
        <is>
          <t>Conflits</t>
        </is>
      </c>
      <c r="D726" s="73" t="n">
        <v>35</v>
      </c>
      <c r="E726" s="73" t="inlineStr">
        <is>
          <t>G</t>
        </is>
      </c>
      <c r="F726" s="72" t="inlineStr">
        <is>
          <t>Rapporte répression étatique et droits humains, sources variées sur un régime contesté.</t>
        </is>
      </c>
      <c r="G726" s="73" t="inlineStr">
        <is>
          <t>Non</t>
        </is>
      </c>
      <c r="H726" s="72" t="n"/>
      <c r="I726" s="73" t="n">
        <v>0</v>
      </c>
      <c r="J726" s="73" t="n">
        <v>5</v>
      </c>
      <c r="K726" s="74">
        <f>IFERROR(I726/J726,0)</f>
        <v/>
      </c>
      <c r="L726" s="73" t="n">
        <v>299</v>
      </c>
      <c r="M726" s="73" t="n">
        <v>7309</v>
      </c>
      <c r="N726" s="73" t="n">
        <v>0</v>
      </c>
      <c r="O726" s="72" t="inlineStr">
        <is>
          <t>Image_Carrousel</t>
        </is>
      </c>
    </row>
    <row r="727" ht="13.5" customHeight="1" s="109">
      <c r="A727" s="35" t="inlineStr">
        <is>
          <t>https://www.instagram.com/p/DUDiUucgVlQ/</t>
        </is>
      </c>
      <c r="B727" s="35" t="inlineStr">
        <is>
          <t>Societe &amp; Droits</t>
        </is>
      </c>
      <c r="C727" s="35" t="inlineStr">
        <is>
          <t>Immigration</t>
        </is>
      </c>
      <c r="D727" s="36" t="n">
        <v>40</v>
      </c>
      <c r="E727" s="36" t="inlineStr">
        <is>
          <t>N</t>
        </is>
      </c>
      <c r="F727" s="35" t="inlineStr">
        <is>
          <t>RTS présente les faits d'une politique de gauche sans jugement explicite.</t>
        </is>
      </c>
      <c r="G727" s="36" t="inlineStr">
        <is>
          <t>Non</t>
        </is>
      </c>
      <c r="H727" s="35" t="inlineStr">
        <is>
          <t>Aucune critique directe du reportage du média.</t>
        </is>
      </c>
      <c r="I727" s="36" t="n">
        <v>0</v>
      </c>
      <c r="J727" s="36" t="n">
        <v>5</v>
      </c>
      <c r="K727" s="74">
        <f>IFERROR(I727/J727,0)</f>
        <v/>
      </c>
      <c r="L727" s="36" t="n">
        <v>274</v>
      </c>
      <c r="M727" s="36" t="n">
        <v>5089</v>
      </c>
      <c r="N727" s="36" t="n">
        <v>0</v>
      </c>
      <c r="O727" s="35" t="inlineStr">
        <is>
          <t>Image_Carrousel</t>
        </is>
      </c>
    </row>
    <row r="728" ht="13.5" customHeight="1" s="109">
      <c r="A728" s="72" t="inlineStr">
        <is>
          <t>https://www.instagram.com/p/DUBclpIAuus/</t>
        </is>
      </c>
      <c r="B728" s="72" t="inlineStr">
        <is>
          <t>Culture &amp; Loisirs</t>
        </is>
      </c>
      <c r="C728" s="72" t="inlineStr">
        <is>
          <t>Sport</t>
        </is>
      </c>
      <c r="D728" s="73" t="n">
        <v>50</v>
      </c>
      <c r="E728" s="73" t="inlineStr">
        <is>
          <t>N</t>
        </is>
      </c>
      <c r="F728" s="72" t="inlineStr">
        <is>
          <t>Reportage humain valorisant un artisan et son apport au monde du ski sportif.</t>
        </is>
      </c>
      <c r="G728" s="73" t="inlineStr">
        <is>
          <t>Non</t>
        </is>
      </c>
      <c r="H728" s="72" t="n"/>
      <c r="I728" s="73" t="n">
        <v>0</v>
      </c>
      <c r="J728" s="73" t="n">
        <v>9</v>
      </c>
      <c r="K728" s="74">
        <f>IFERROR(I728/J728,0)</f>
        <v/>
      </c>
      <c r="L728" s="73" t="n">
        <v>166</v>
      </c>
      <c r="M728" s="73" t="n">
        <v>13598</v>
      </c>
      <c r="N728" s="73" t="n">
        <v>125373</v>
      </c>
      <c r="O728" s="72" t="inlineStr">
        <is>
          <t>Video</t>
        </is>
      </c>
    </row>
    <row r="729" ht="13.5" customHeight="1" s="109">
      <c r="A729" s="35" t="inlineStr">
        <is>
          <t>https://www.instagram.com/p/DUC5JIpjQHH/</t>
        </is>
      </c>
      <c r="B729" s="35" t="inlineStr">
        <is>
          <t>Culture &amp; Loisirs</t>
        </is>
      </c>
      <c r="C729" s="35" t="inlineStr">
        <is>
          <t>Arts</t>
        </is>
      </c>
      <c r="D729" s="36" t="n">
        <v>50</v>
      </c>
      <c r="E729" s="36" t="inlineStr">
        <is>
          <t>N</t>
        </is>
      </c>
      <c r="F729" s="35" t="inlineStr">
        <is>
          <t>RTS publie une information neutre sur des démissions dans une institution culturelle.</t>
        </is>
      </c>
      <c r="G729" s="36" t="inlineStr">
        <is>
          <t>Non</t>
        </is>
      </c>
      <c r="H729" s="35" t="inlineStr">
        <is>
          <t>Aucun commentaire ne critique le média lui-même.</t>
        </is>
      </c>
      <c r="I729" s="36" t="n">
        <v>0</v>
      </c>
      <c r="J729" s="36" t="n">
        <v>9</v>
      </c>
      <c r="K729" s="74">
        <f>IFERROR(I729/J729,0)</f>
        <v/>
      </c>
      <c r="L729" s="36" t="n">
        <v>12</v>
      </c>
      <c r="M729" s="36" t="n">
        <v>776</v>
      </c>
      <c r="N729" s="36" t="n">
        <v>0</v>
      </c>
      <c r="O729" s="35" t="inlineStr">
        <is>
          <t>Image_Carrousel</t>
        </is>
      </c>
    </row>
    <row r="730" ht="13.5" customHeight="1" s="109">
      <c r="A730" s="72" t="inlineStr">
        <is>
          <t>https://www.instagram.com/p/DUDUldbDSx8/</t>
        </is>
      </c>
      <c r="B730" s="72" t="inlineStr">
        <is>
          <t>Sante</t>
        </is>
      </c>
      <c r="C730" s="72" t="inlineStr">
        <is>
          <t>Sante publique</t>
        </is>
      </c>
      <c r="D730" s="73" t="n">
        <v>50</v>
      </c>
      <c r="E730" s="73" t="inlineStr">
        <is>
          <t>N</t>
        </is>
      </c>
      <c r="F730" s="72" t="inlineStr">
        <is>
          <t>Média public suisse, réputé pour sa neutralité et son approche factuelle.</t>
        </is>
      </c>
      <c r="G730" s="73" t="inlineStr">
        <is>
          <t>Oui</t>
        </is>
      </c>
      <c r="H730" s="72" t="inlineStr">
        <is>
          <t>Ton perçu comme alarmiste ou pessimiste, incitant à l'inquiétude.</t>
        </is>
      </c>
      <c r="I730" s="73" t="n">
        <v>2</v>
      </c>
      <c r="J730" s="73" t="n">
        <v>7</v>
      </c>
      <c r="K730" s="74">
        <f>IFERROR(I730/J730,0)</f>
        <v/>
      </c>
      <c r="L730" s="73" t="n">
        <v>103</v>
      </c>
      <c r="M730" s="73" t="n">
        <v>3556</v>
      </c>
      <c r="N730" s="73" t="n">
        <v>0</v>
      </c>
      <c r="O730" s="72" t="inlineStr">
        <is>
          <t>Image_Carrousel</t>
        </is>
      </c>
    </row>
    <row r="731" ht="13.5" customHeight="1" s="109">
      <c r="A731" s="35" t="inlineStr">
        <is>
          <t>https://www.instagram.com/p/DUGb0x1CHNQ/</t>
        </is>
      </c>
      <c r="B731" s="35" t="inlineStr">
        <is>
          <t>Politique &amp; Institutions</t>
        </is>
      </c>
      <c r="C731" s="35" t="inlineStr">
        <is>
          <t>Autorites</t>
        </is>
      </c>
      <c r="D731" s="36" t="n">
        <v>40</v>
      </c>
      <c r="E731" s="36" t="inlineStr">
        <is>
          <t>N</t>
        </is>
      </c>
      <c r="F731" s="35" t="inlineStr">
        <is>
          <t>Mise en lumière défaillance institutionnelle, contraste avec témoignages citoyens.</t>
        </is>
      </c>
      <c r="G731" s="36" t="inlineStr">
        <is>
          <t>Non</t>
        </is>
      </c>
      <c r="H731" s="35" t="n"/>
      <c r="I731" s="36" t="n">
        <v>0</v>
      </c>
      <c r="J731" s="36" t="n">
        <v>8</v>
      </c>
      <c r="K731" s="74">
        <f>IFERROR(I731/J731,0)</f>
        <v/>
      </c>
      <c r="L731" s="36" t="n">
        <v>245</v>
      </c>
      <c r="M731" s="36" t="n">
        <v>3069</v>
      </c>
      <c r="N731" s="36" t="n">
        <v>0</v>
      </c>
      <c r="O731" s="35" t="inlineStr">
        <is>
          <t>Image_Carrousel</t>
        </is>
      </c>
    </row>
    <row r="732" ht="13.5" customHeight="1" s="109">
      <c r="A732" s="72" t="inlineStr">
        <is>
          <t>https://www.instagram.com/p/DUCrc0blb5r/</t>
        </is>
      </c>
      <c r="B732" s="72" t="inlineStr">
        <is>
          <t>Securite &amp; Justice</t>
        </is>
      </c>
      <c r="C732" s="72" t="inlineStr">
        <is>
          <t>Ordre public</t>
        </is>
      </c>
      <c r="D732" s="73" t="n">
        <v>40</v>
      </c>
      <c r="E732" s="73" t="inlineStr">
        <is>
          <t>N</t>
        </is>
      </c>
      <c r="F732" s="72" t="inlineStr">
        <is>
          <t>RTS, service public, utilise langage inclusif, informe sur risques sociétaux sans parti pris.</t>
        </is>
      </c>
      <c r="G732" s="73" t="inlineStr">
        <is>
          <t>Oui</t>
        </is>
      </c>
      <c r="H732" s="72" t="inlineStr">
        <is>
          <t>Retrait de commentaires sur un autre sujet, insinuant censure.</t>
        </is>
      </c>
      <c r="I732" s="73" t="n">
        <v>1</v>
      </c>
      <c r="J732" s="73" t="n">
        <v>5</v>
      </c>
      <c r="K732" s="74">
        <f>IFERROR(I732/J732,0)</f>
        <v/>
      </c>
      <c r="L732" s="73" t="n">
        <v>66</v>
      </c>
      <c r="M732" s="73" t="n">
        <v>4856</v>
      </c>
      <c r="N732" s="73" t="n">
        <v>114651</v>
      </c>
      <c r="O732" s="72" t="inlineStr">
        <is>
          <t>Video</t>
        </is>
      </c>
    </row>
    <row r="733" ht="13.5" customHeight="1" s="109">
      <c r="A733" s="35" t="inlineStr">
        <is>
          <t>https://www.instagram.com/p/DUAGl5CjMdm/</t>
        </is>
      </c>
      <c r="B733" s="35" t="inlineStr">
        <is>
          <t>Societe &amp; Droits</t>
        </is>
      </c>
      <c r="C733" s="35" t="inlineStr">
        <is>
          <t>Faits de societe</t>
        </is>
      </c>
      <c r="D733" s="36" t="n">
        <v>45</v>
      </c>
      <c r="E733" s="36" t="inlineStr">
        <is>
          <t>N</t>
        </is>
      </c>
      <c r="F733" s="35" t="inlineStr">
        <is>
          <t>RTS, média public, informe sur une initiative sociale sans prendre position.</t>
        </is>
      </c>
      <c r="G733" s="36" t="inlineStr">
        <is>
          <t>Non</t>
        </is>
      </c>
      <c r="H733" s="35" t="n"/>
      <c r="I733" s="36" t="n">
        <v>0</v>
      </c>
      <c r="J733" s="36" t="n">
        <v>5</v>
      </c>
      <c r="K733" s="74">
        <f>IFERROR(I733/J733,0)</f>
        <v/>
      </c>
      <c r="L733" s="36" t="n">
        <v>75</v>
      </c>
      <c r="M733" s="36" t="n">
        <v>9554</v>
      </c>
      <c r="N733" s="36" t="n">
        <v>0</v>
      </c>
      <c r="O733" s="35" t="inlineStr">
        <is>
          <t>Image_Carrousel</t>
        </is>
      </c>
    </row>
    <row r="734" ht="13.5" customHeight="1" s="109">
      <c r="A734" s="72" t="inlineStr">
        <is>
          <t>https://www.instagram.com/p/DUAwCI1jXs8/</t>
        </is>
      </c>
      <c r="B734" s="72" t="inlineStr">
        <is>
          <t>Environnement &amp; Nature</t>
        </is>
      </c>
      <c r="C734" s="72" t="inlineStr">
        <is>
          <t>Climat / Ecologie</t>
        </is>
      </c>
      <c r="D734" s="73" t="n">
        <v>45</v>
      </c>
      <c r="E734" s="73" t="inlineStr">
        <is>
          <t>N</t>
        </is>
      </c>
      <c r="F734" s="72" t="inlineStr">
        <is>
          <t>RTS est un média public suisse, généralement perçu comme centriste et informatif.</t>
        </is>
      </c>
      <c r="G734" s="73" t="inlineStr">
        <is>
          <t>Non</t>
        </is>
      </c>
      <c r="H734" s="72" t="inlineStr">
        <is>
          <t>Aucune critique du media.</t>
        </is>
      </c>
      <c r="I734" s="73" t="n">
        <v>0</v>
      </c>
      <c r="J734" s="73" t="n">
        <v>8</v>
      </c>
      <c r="K734" s="74">
        <f>IFERROR(I734/J734,0)</f>
        <v/>
      </c>
      <c r="L734" s="73" t="n">
        <v>80</v>
      </c>
      <c r="M734" s="73" t="n">
        <v>5603</v>
      </c>
      <c r="N734" s="73" t="n">
        <v>130339</v>
      </c>
      <c r="O734" s="72" t="inlineStr">
        <is>
          <t>Video</t>
        </is>
      </c>
    </row>
    <row r="735" ht="13.5" customHeight="1" s="109">
      <c r="A735" s="35" t="inlineStr">
        <is>
          <t>https://www.instagram.com/p/DUA2qg1DNGF/</t>
        </is>
      </c>
      <c r="B735" s="35" t="inlineStr">
        <is>
          <t>Sante</t>
        </is>
      </c>
      <c r="C735" s="35" t="inlineStr">
        <is>
          <t>Sante publique</t>
        </is>
      </c>
      <c r="D735" s="36" t="n">
        <v>40</v>
      </c>
      <c r="E735" s="36" t="inlineStr">
        <is>
          <t>N</t>
        </is>
      </c>
      <c r="F735" s="35" t="inlineStr">
        <is>
          <t>RTSinfo: diffusion de résultats scientifiques, visant la compréhension et la prévention.</t>
        </is>
      </c>
      <c r="G735" s="36" t="inlineStr">
        <is>
          <t>Oui</t>
        </is>
      </c>
      <c r="H735" s="35" t="inlineStr">
        <is>
          <t>Omission de détails médicaux importants, potentiels biais d'interprétation.</t>
        </is>
      </c>
      <c r="I735" s="36" t="n">
        <v>2</v>
      </c>
      <c r="J735" s="36" t="n">
        <v>9</v>
      </c>
      <c r="K735" s="74">
        <f>IFERROR(I735/J735,0)</f>
        <v/>
      </c>
      <c r="L735" s="36" t="n">
        <v>12</v>
      </c>
      <c r="M735" s="36" t="n">
        <v>2041</v>
      </c>
      <c r="N735" s="36" t="n">
        <v>0</v>
      </c>
      <c r="O735" s="35" t="inlineStr">
        <is>
          <t>Image_Carrousel</t>
        </is>
      </c>
    </row>
    <row r="736" ht="13.5" customHeight="1" s="109">
      <c r="A736" s="72" t="inlineStr">
        <is>
          <t>https://www.instagram.com/p/DUBji3SleGG/</t>
        </is>
      </c>
      <c r="B736" s="72" t="inlineStr">
        <is>
          <t>Securite &amp; Justice</t>
        </is>
      </c>
      <c r="C736" s="72" t="inlineStr">
        <is>
          <t>Justice</t>
        </is>
      </c>
      <c r="D736" s="73" t="n">
        <v>45</v>
      </c>
      <c r="E736" s="73" t="inlineStr">
        <is>
          <t>N</t>
        </is>
      </c>
      <c r="F736" s="72" t="inlineStr">
        <is>
          <t>RTS est un média de service public suisse, réputé pour sa neutralité factuelle.</t>
        </is>
      </c>
      <c r="G736" s="73" t="inlineStr">
        <is>
          <t>Non</t>
        </is>
      </c>
      <c r="H736" s="72" t="n"/>
      <c r="I736" s="73" t="n">
        <v>0</v>
      </c>
      <c r="J736" s="73" t="n">
        <v>9</v>
      </c>
      <c r="K736" s="74">
        <f>IFERROR(I736/J736,0)</f>
        <v/>
      </c>
      <c r="L736" s="73" t="n">
        <v>391</v>
      </c>
      <c r="M736" s="73" t="n">
        <v>8335</v>
      </c>
      <c r="N736" s="73" t="n">
        <v>0</v>
      </c>
      <c r="O736" s="72" t="inlineStr">
        <is>
          <t>Image_Carrousel</t>
        </is>
      </c>
    </row>
    <row r="737" ht="13.5" customHeight="1" s="109">
      <c r="A737" s="35" t="inlineStr">
        <is>
          <t>https://www.instagram.com/p/DUCyRKPiBXb/</t>
        </is>
      </c>
      <c r="B737" s="35" t="inlineStr">
        <is>
          <t>Securite &amp; Justice</t>
        </is>
      </c>
      <c r="C737" s="35" t="inlineStr">
        <is>
          <t>Activites de Police</t>
        </is>
      </c>
      <c r="D737" s="36" t="n">
        <v>45</v>
      </c>
      <c r="E737" s="36" t="inlineStr">
        <is>
          <t>N</t>
        </is>
      </c>
      <c r="F737" s="35" t="inlineStr">
        <is>
          <t>Rapporte faits et controverse sur ICE, mentionnant critiques passées.</t>
        </is>
      </c>
      <c r="G737" s="36" t="inlineStr">
        <is>
          <t>Oui</t>
        </is>
      </c>
      <c r="H737" s="35" t="inlineStr">
        <is>
          <t>Un commentaire implique une omission du rôle positif d'ICE par le média.</t>
        </is>
      </c>
      <c r="I737" s="36" t="n">
        <v>1</v>
      </c>
      <c r="J737" s="36" t="n">
        <v>6</v>
      </c>
      <c r="K737" s="74">
        <f>IFERROR(I737/J737,0)</f>
        <v/>
      </c>
      <c r="L737" s="36" t="n">
        <v>198</v>
      </c>
      <c r="M737" s="36" t="n">
        <v>5300</v>
      </c>
      <c r="N737" s="36" t="n">
        <v>0</v>
      </c>
      <c r="O737" s="35" t="inlineStr">
        <is>
          <t>Image_Carrousel</t>
        </is>
      </c>
    </row>
    <row r="738" ht="13.5" customHeight="1" s="109">
      <c r="A738" s="72" t="inlineStr">
        <is>
          <t>https://www.instagram.com/p/DUDbdYhDGYK/</t>
        </is>
      </c>
      <c r="B738" s="72" t="inlineStr">
        <is>
          <t>Politique &amp; Institutions</t>
        </is>
      </c>
      <c r="C738" s="72" t="inlineStr">
        <is>
          <t>Autorites</t>
        </is>
      </c>
      <c r="D738" s="73" t="n">
        <v>45</v>
      </c>
      <c r="E738" s="73" t="inlineStr">
        <is>
          <t>N</t>
        </is>
      </c>
      <c r="F738" s="72" t="inlineStr">
        <is>
          <t>RTSinfo rapporte des statistiques officielles des CFF sur la ponctualité.</t>
        </is>
      </c>
      <c r="G738" s="73" t="inlineStr">
        <is>
          <t>Oui</t>
        </is>
      </c>
      <c r="H738" s="72" t="inlineStr">
        <is>
          <t>Les utilisateurs contestent fortement les chiffres de ponctualité rapportés.</t>
        </is>
      </c>
      <c r="I738" s="73" t="n">
        <v>4</v>
      </c>
      <c r="J738" s="73" t="n">
        <v>6</v>
      </c>
      <c r="K738" s="74">
        <f>IFERROR(I738/J738,0)</f>
        <v/>
      </c>
      <c r="L738" s="73" t="n">
        <v>101</v>
      </c>
      <c r="M738" s="73" t="n">
        <v>7437</v>
      </c>
      <c r="N738" s="73" t="n">
        <v>0</v>
      </c>
      <c r="O738" s="72" t="inlineStr">
        <is>
          <t>Image_Carrousel</t>
        </is>
      </c>
    </row>
    <row r="739" ht="13.5" customHeight="1" s="109">
      <c r="A739" s="35" t="inlineStr">
        <is>
          <t>https://www.instagram.com/p/DUAUUCRDfYH/</t>
        </is>
      </c>
      <c r="B739" s="35" t="inlineStr">
        <is>
          <t>Culture &amp; Loisirs</t>
        </is>
      </c>
      <c r="C739" s="35" t="inlineStr">
        <is>
          <t>Medias</t>
        </is>
      </c>
      <c r="D739" s="36" t="n">
        <v>45</v>
      </c>
      <c r="E739" s="36" t="inlineStr">
        <is>
          <t>N</t>
        </is>
      </c>
      <c r="F739" s="35" t="inlineStr">
        <is>
          <t>Média de service public suisse, vise la neutralité et le factuel sur les enjeux technologiques.</t>
        </is>
      </c>
      <c r="G739" s="36" t="inlineStr">
        <is>
          <t>Oui</t>
        </is>
      </c>
      <c r="H739" s="35" t="inlineStr">
        <is>
          <t>Un commentaire demande des précisions/corrections sur le fonctionnement de ChatGPT.</t>
        </is>
      </c>
      <c r="I739" s="36" t="n">
        <v>1</v>
      </c>
      <c r="J739" s="36" t="n">
        <v>4</v>
      </c>
      <c r="K739" s="74">
        <f>IFERROR(I739/J739,0)</f>
        <v/>
      </c>
      <c r="L739" s="36" t="n">
        <v>97</v>
      </c>
      <c r="M739" s="36" t="n">
        <v>2523</v>
      </c>
      <c r="N739" s="36" t="n">
        <v>0</v>
      </c>
      <c r="O739" s="35" t="inlineStr">
        <is>
          <t>Image_Carrousel</t>
        </is>
      </c>
    </row>
    <row r="740" ht="13.5" customHeight="1" s="109">
      <c r="A740" s="72" t="inlineStr">
        <is>
          <t>https://www.instagram.com/p/DUANkIlDZMP/</t>
        </is>
      </c>
      <c r="B740" s="72" t="inlineStr">
        <is>
          <t>Societe &amp; Droits</t>
        </is>
      </c>
      <c r="C740" s="72" t="inlineStr">
        <is>
          <t>Faits de societe</t>
        </is>
      </c>
      <c r="D740" s="73" t="n">
        <v>50</v>
      </c>
      <c r="E740" s="73" t="inlineStr">
        <is>
          <t>N</t>
        </is>
      </c>
      <c r="F740" s="72" t="inlineStr">
        <is>
          <t>RTS public broadcaster, report on social issue and solutions, no explicit political stance.</t>
        </is>
      </c>
      <c r="G740" s="73" t="inlineStr">
        <is>
          <t>Non</t>
        </is>
      </c>
      <c r="H740" s="72" t="inlineStr">
        <is>
          <t>Aucune critique explicite du média dans les commentaires fournis.</t>
        </is>
      </c>
      <c r="I740" s="73" t="n">
        <v>0</v>
      </c>
      <c r="J740" s="73" t="n">
        <v>10</v>
      </c>
      <c r="K740" s="74">
        <f>IFERROR(I740/J740,0)</f>
        <v/>
      </c>
      <c r="L740" s="73" t="n">
        <v>53</v>
      </c>
      <c r="M740" s="73" t="n">
        <v>4507</v>
      </c>
      <c r="N740" s="73" t="n">
        <v>66037</v>
      </c>
      <c r="O740" s="72" t="inlineStr">
        <is>
          <t>Video</t>
        </is>
      </c>
    </row>
    <row r="741" ht="13.5" customHeight="1" s="109">
      <c r="A741" s="35" t="inlineStr">
        <is>
          <t>https://www.instagram.com/p/DUBZI4-jO7O/</t>
        </is>
      </c>
      <c r="B741" s="35" t="inlineStr">
        <is>
          <t>Societe &amp; Droits</t>
        </is>
      </c>
      <c r="C741" s="35" t="inlineStr">
        <is>
          <t>Faits de societe</t>
        </is>
      </c>
      <c r="D741" s="36" t="n">
        <v>40</v>
      </c>
      <c r="E741" s="36" t="inlineStr">
        <is>
          <t>N</t>
        </is>
      </c>
      <c r="F741" s="35" t="inlineStr">
        <is>
          <t>Média public suisse, cherche équilibre et neutralité.</t>
        </is>
      </c>
      <c r="G741" s="36" t="inlineStr">
        <is>
          <t>Non</t>
        </is>
      </c>
      <c r="H741" s="35" t="inlineStr">
        <is>
          <t>Aucune critique directe du media par les commentateurs.</t>
        </is>
      </c>
      <c r="I741" s="36" t="n">
        <v>0</v>
      </c>
      <c r="J741" s="36" t="n">
        <v>9</v>
      </c>
      <c r="K741" s="74">
        <f>IFERROR(I741/J741,0)</f>
        <v/>
      </c>
      <c r="L741" s="36" t="n">
        <v>193</v>
      </c>
      <c r="M741" s="36" t="n">
        <v>4074</v>
      </c>
      <c r="N741" s="36" t="n">
        <v>0</v>
      </c>
      <c r="O741" s="35" t="inlineStr">
        <is>
          <t>Image_Carrousel</t>
        </is>
      </c>
    </row>
    <row r="742" ht="13.5" customHeight="1" s="109">
      <c r="A742" s="72" t="inlineStr">
        <is>
          <t>https://www.instagram.com/p/DUAle2gDeXI/</t>
        </is>
      </c>
      <c r="B742" s="72" t="inlineStr">
        <is>
          <t>Sante</t>
        </is>
      </c>
      <c r="C742" s="72" t="inlineStr">
        <is>
          <t>Sante publique</t>
        </is>
      </c>
      <c r="D742" s="73" t="n">
        <v>50</v>
      </c>
      <c r="E742" s="73" t="inlineStr">
        <is>
          <t>N</t>
        </is>
      </c>
      <c r="F742" s="72" t="inlineStr">
        <is>
          <t>Reporting factuel et équilibré d'une proposition de loi gouvernementale.</t>
        </is>
      </c>
      <c r="G742" s="73" t="inlineStr">
        <is>
          <t>Non</t>
        </is>
      </c>
      <c r="H742" s="72" t="n"/>
      <c r="I742" s="73" t="n">
        <v>0</v>
      </c>
      <c r="J742" s="73" t="n">
        <v>3</v>
      </c>
      <c r="K742" s="74">
        <f>IFERROR(I742/J742,0)</f>
        <v/>
      </c>
      <c r="L742" s="73" t="n">
        <v>63</v>
      </c>
      <c r="M742" s="73" t="n">
        <v>3064</v>
      </c>
      <c r="N742" s="73" t="n">
        <v>0</v>
      </c>
      <c r="O742" s="72" t="inlineStr">
        <is>
          <t>Image_Carrousel</t>
        </is>
      </c>
    </row>
    <row r="743" ht="13.5" customHeight="1" s="109">
      <c r="A743" s="35" t="inlineStr">
        <is>
          <t>https://www.instagram.com/p/DUBSQObD1GA/</t>
        </is>
      </c>
      <c r="B743" s="35" t="inlineStr">
        <is>
          <t>Societe &amp; Droits</t>
        </is>
      </c>
      <c r="C743" s="35" t="inlineStr">
        <is>
          <t>Immigration</t>
        </is>
      </c>
      <c r="D743" s="36" t="n">
        <v>25</v>
      </c>
      <c r="E743" s="36" t="inlineStr">
        <is>
          <t>G</t>
        </is>
      </c>
      <c r="F743" s="35" t="inlineStr">
        <is>
          <t>Tonalité critique envers l'action policière et les institutions, focus droits humains.</t>
        </is>
      </c>
      <c r="G743" s="36" t="inlineStr">
        <is>
          <t>Oui</t>
        </is>
      </c>
      <c r="H743" s="35" t="inlineStr">
        <is>
          <t>Manque de contexte, choix de termes.</t>
        </is>
      </c>
      <c r="I743" s="36" t="n">
        <v>2</v>
      </c>
      <c r="J743" s="36" t="n">
        <v>5</v>
      </c>
      <c r="K743" s="74">
        <f>IFERROR(I743/J743,0)</f>
        <v/>
      </c>
      <c r="L743" s="36" t="n">
        <v>80</v>
      </c>
      <c r="M743" s="36" t="n">
        <v>2126</v>
      </c>
      <c r="N743" s="36" t="n">
        <v>45009</v>
      </c>
      <c r="O743" s="35" t="inlineStr">
        <is>
          <t>Video</t>
        </is>
      </c>
    </row>
    <row r="744" ht="13.5" customHeight="1" s="109">
      <c r="A744" s="72" t="inlineStr">
        <is>
          <t>https://www.instagram.com/p/DT-btj9gskz/</t>
        </is>
      </c>
      <c r="B744" s="72" t="inlineStr">
        <is>
          <t>Culture &amp; Loisirs</t>
        </is>
      </c>
      <c r="C744" s="72" t="inlineStr">
        <is>
          <t>Sport</t>
        </is>
      </c>
      <c r="D744" s="73" t="n">
        <v>40</v>
      </c>
      <c r="E744" s="73" t="inlineStr">
        <is>
          <t>N</t>
        </is>
      </c>
      <c r="F744" s="72" t="inlineStr">
        <is>
          <t>Média de service public, inclut un point sur la parité femme-homme.</t>
        </is>
      </c>
      <c r="G744" s="73" t="inlineStr">
        <is>
          <t>Oui</t>
        </is>
      </c>
      <c r="H744" s="72" t="inlineStr">
        <is>
          <t>Critique du choix du sujet (parité) et du ton du média.</t>
        </is>
      </c>
      <c r="I744" s="73" t="n">
        <v>3</v>
      </c>
      <c r="J744" s="73" t="n">
        <v>9</v>
      </c>
      <c r="K744" s="74">
        <f>IFERROR(I744/J744,0)</f>
        <v/>
      </c>
      <c r="L744" s="73" t="n">
        <v>15</v>
      </c>
      <c r="M744" s="73" t="n">
        <v>7064</v>
      </c>
      <c r="N744" s="73" t="n">
        <v>0</v>
      </c>
      <c r="O744" s="72" t="inlineStr">
        <is>
          <t>Image_Carrousel</t>
        </is>
      </c>
    </row>
    <row r="745" ht="13.5" customHeight="1" s="109">
      <c r="A745" s="35" t="inlineStr">
        <is>
          <t>https://www.instagram.com/p/DT-tYqYDWoj/</t>
        </is>
      </c>
      <c r="B745" s="35" t="inlineStr">
        <is>
          <t>Culture &amp; Loisirs</t>
        </is>
      </c>
      <c r="C745" s="35" t="inlineStr">
        <is>
          <t>Arts</t>
        </is>
      </c>
      <c r="D745" s="36" t="n">
        <v>50</v>
      </c>
      <c r="E745" s="36" t="inlineStr">
        <is>
          <t>N</t>
        </is>
      </c>
      <c r="F745" s="35" t="inlineStr">
        <is>
          <t>RTS est un diffuseur public suisse, contenu informatif neutre.</t>
        </is>
      </c>
      <c r="G745" s="36" t="inlineStr">
        <is>
          <t>Non</t>
        </is>
      </c>
      <c r="H745" s="35" t="inlineStr">
        <is>
          <t>Aucun commentaire ne critique le média ou son contenu.</t>
        </is>
      </c>
      <c r="I745" s="36" t="n">
        <v>0</v>
      </c>
      <c r="J745" s="36" t="n">
        <v>5</v>
      </c>
      <c r="K745" s="74">
        <f>IFERROR(I745/J745,0)</f>
        <v/>
      </c>
      <c r="L745" s="36" t="n">
        <v>6</v>
      </c>
      <c r="M745" s="36" t="n">
        <v>2965</v>
      </c>
      <c r="N745" s="36" t="n">
        <v>30560</v>
      </c>
      <c r="O745" s="35" t="inlineStr">
        <is>
          <t>Video</t>
        </is>
      </c>
    </row>
    <row r="746" ht="13.5" customHeight="1" s="109">
      <c r="A746" s="72" t="inlineStr">
        <is>
          <t>https://www.instagram.com/p/DUA9l3ZieR9/</t>
        </is>
      </c>
      <c r="B746" s="72" t="inlineStr">
        <is>
          <t>Societe &amp; Droits</t>
        </is>
      </c>
      <c r="C746" s="72" t="inlineStr">
        <is>
          <t>Faits de societe</t>
        </is>
      </c>
      <c r="D746" s="73" t="n">
        <v>50</v>
      </c>
      <c r="E746" s="73" t="inlineStr">
        <is>
          <t>N</t>
        </is>
      </c>
      <c r="F746" s="72" t="inlineStr">
        <is>
          <t>RTS rapporte une initiative positive d'inclusion sans biais évident.</t>
        </is>
      </c>
      <c r="G746" s="73" t="inlineStr">
        <is>
          <t>Non</t>
        </is>
      </c>
      <c r="H746" s="72" t="inlineStr">
        <is>
          <t>Aucune critique du media.</t>
        </is>
      </c>
      <c r="I746" s="73" t="n">
        <v>0</v>
      </c>
      <c r="J746" s="73" t="n">
        <v>4</v>
      </c>
      <c r="K746" s="74">
        <f>IFERROR(I746/J746,0)</f>
        <v/>
      </c>
      <c r="L746" s="73" t="n">
        <v>28</v>
      </c>
      <c r="M746" s="73" t="n">
        <v>4669</v>
      </c>
      <c r="N746" s="73" t="n">
        <v>0</v>
      </c>
      <c r="O746" s="72" t="inlineStr">
        <is>
          <t>Image_Carrousel</t>
        </is>
      </c>
    </row>
    <row r="747" ht="13.5" customHeight="1" s="109">
      <c r="A747" s="35" t="inlineStr">
        <is>
          <t>https://www.instagram.com/p/DT-AsBVj0tM/</t>
        </is>
      </c>
      <c r="B747" s="35" t="inlineStr">
        <is>
          <t>Securite &amp; Justice</t>
        </is>
      </c>
      <c r="C747" s="35" t="inlineStr">
        <is>
          <t>Activites de Police</t>
        </is>
      </c>
      <c r="D747" s="36" t="n">
        <v>40</v>
      </c>
      <c r="E747" s="36" t="inlineStr">
        <is>
          <t>N</t>
        </is>
      </c>
      <c r="F747" s="35" t="inlineStr">
        <is>
          <t>Rapporte critiques d'anciens présidents contre violences policières et gouvernement Trump.</t>
        </is>
      </c>
      <c r="G747" s="36" t="inlineStr">
        <is>
          <t>Oui</t>
        </is>
      </c>
      <c r="H747" s="35" t="inlineStr">
        <is>
          <t>Omission de contexte sur l'ICE, suggestion de diversion médiatique.</t>
        </is>
      </c>
      <c r="I747" s="36" t="n">
        <v>3</v>
      </c>
      <c r="J747" s="36" t="n">
        <v>8</v>
      </c>
      <c r="K747" s="74">
        <f>IFERROR(I747/J747,0)</f>
        <v/>
      </c>
      <c r="L747" s="36" t="n">
        <v>201</v>
      </c>
      <c r="M747" s="36" t="n">
        <v>16412</v>
      </c>
      <c r="N747" s="36" t="n">
        <v>0</v>
      </c>
      <c r="O747" s="35" t="inlineStr">
        <is>
          <t>Image_Carrousel</t>
        </is>
      </c>
    </row>
    <row r="748" ht="13.5" customHeight="1" s="109">
      <c r="A748" s="72" t="inlineStr">
        <is>
          <t>https://www.instagram.com/p/DT-LpuBgDNJ/</t>
        </is>
      </c>
      <c r="B748" s="72" t="inlineStr">
        <is>
          <t>Securite &amp; Justice</t>
        </is>
      </c>
      <c r="C748" s="72" t="inlineStr">
        <is>
          <t>Ordre public</t>
        </is>
      </c>
      <c r="D748" s="73" t="n">
        <v>50</v>
      </c>
      <c r="E748" s="73" t="inlineStr">
        <is>
          <t>N</t>
        </is>
      </c>
      <c r="F748" s="72" t="inlineStr">
        <is>
          <t>RTS rapporte un incident technique de manière factuelle et neutre, sans opinion.</t>
        </is>
      </c>
      <c r="G748" s="73" t="inlineStr">
        <is>
          <t>Non</t>
        </is>
      </c>
      <c r="H748" s="72" t="n"/>
      <c r="I748" s="73" t="n">
        <v>0</v>
      </c>
      <c r="J748" s="73" t="n">
        <v>3</v>
      </c>
      <c r="K748" s="74">
        <f>IFERROR(I748/J748,0)</f>
        <v/>
      </c>
      <c r="L748" s="73" t="n">
        <v>52</v>
      </c>
      <c r="M748" s="73" t="n">
        <v>2936</v>
      </c>
      <c r="N748" s="73" t="n">
        <v>0</v>
      </c>
      <c r="O748" s="72" t="inlineStr">
        <is>
          <t>Image_Carrousel</t>
        </is>
      </c>
    </row>
    <row r="749" ht="13.5" customHeight="1" s="109">
      <c r="A749" s="35" t="inlineStr">
        <is>
          <t>https://www.instagram.com/p/DT9hyarEkSp/</t>
        </is>
      </c>
      <c r="B749" s="35" t="inlineStr">
        <is>
          <t>Sante</t>
        </is>
      </c>
      <c r="C749" s="35" t="inlineStr">
        <is>
          <t>Sante publique</t>
        </is>
      </c>
      <c r="D749" s="36" t="n">
        <v>45</v>
      </c>
      <c r="E749" s="36" t="inlineStr">
        <is>
          <t>N</t>
        </is>
      </c>
      <c r="F749" s="35" t="inlineStr">
        <is>
          <t>Médias de service public (RTS, BBC) réputés pour leur approche factuelle et neutre.</t>
        </is>
      </c>
      <c r="G749" s="36" t="inlineStr">
        <is>
          <t>Oui</t>
        </is>
      </c>
      <c r="H749" s="35" t="inlineStr">
        <is>
          <t>Manque d'information jugé, choix de sujet perçu comme moins pertinent.</t>
        </is>
      </c>
      <c r="I749" s="36" t="n">
        <v>2</v>
      </c>
      <c r="J749" s="36" t="n">
        <v>8</v>
      </c>
      <c r="K749" s="74">
        <f>IFERROR(I749/J749,0)</f>
        <v/>
      </c>
      <c r="L749" s="36" t="n">
        <v>43</v>
      </c>
      <c r="M749" s="36" t="n">
        <v>5125</v>
      </c>
      <c r="N749" s="36" t="n">
        <v>0</v>
      </c>
      <c r="O749" s="35" t="inlineStr">
        <is>
          <t>Image_Carrousel</t>
        </is>
      </c>
    </row>
    <row r="750" ht="13.5" customHeight="1" s="109">
      <c r="A750" s="72" t="inlineStr">
        <is>
          <t>https://www.instagram.com/p/DT9vidzCBtR/</t>
        </is>
      </c>
      <c r="B750" s="72" t="inlineStr">
        <is>
          <t>Societe &amp; Droits</t>
        </is>
      </c>
      <c r="C750" s="72" t="inlineStr">
        <is>
          <t>Faits de societe</t>
        </is>
      </c>
      <c r="D750" s="73" t="n">
        <v>50</v>
      </c>
      <c r="E750" s="73" t="inlineStr">
        <is>
          <t>N</t>
        </is>
      </c>
      <c r="F750" s="72" t="inlineStr">
        <is>
          <t>Rapportage factuel et neutre d'un acte antisémite, citant autorités et communauté juive.</t>
        </is>
      </c>
      <c r="G750" s="73" t="inlineStr">
        <is>
          <t>Oui</t>
        </is>
      </c>
      <c r="H750" s="72" t="inlineStr">
        <is>
          <t>Biais de couverture perçu par un commentateur (censure).</t>
        </is>
      </c>
      <c r="I750" s="73" t="n">
        <v>1</v>
      </c>
      <c r="J750" s="73" t="n">
        <v>6</v>
      </c>
      <c r="K750" s="74">
        <f>IFERROR(I750/J750,0)</f>
        <v/>
      </c>
      <c r="L750" s="73" t="n">
        <v>141</v>
      </c>
      <c r="M750" s="73" t="n">
        <v>2276</v>
      </c>
      <c r="N750" s="73" t="n">
        <v>0</v>
      </c>
      <c r="O750" s="72" t="inlineStr">
        <is>
          <t>Image_Carrousel</t>
        </is>
      </c>
    </row>
    <row r="751" ht="13.5" customHeight="1" s="109">
      <c r="A751" s="35" t="inlineStr">
        <is>
          <t>https://www.instagram.com/p/DT_D3C2kUmp/</t>
        </is>
      </c>
      <c r="B751" s="35" t="inlineStr">
        <is>
          <t>International</t>
        </is>
      </c>
      <c r="C751" s="35" t="inlineStr">
        <is>
          <t>Geopolitique</t>
        </is>
      </c>
      <c r="D751" s="36" t="n">
        <v>50</v>
      </c>
      <c r="E751" s="36" t="inlineStr">
        <is>
          <t>N</t>
        </is>
      </c>
      <c r="F751" s="35" t="inlineStr">
        <is>
          <t>Reportage factuel sur un incident diplomatique, pas de prise de position éditoriale.</t>
        </is>
      </c>
      <c r="G751" s="36" t="inlineStr">
        <is>
          <t>Non</t>
        </is>
      </c>
      <c r="H751" s="35" t="n"/>
      <c r="I751" s="36" t="n">
        <v>0</v>
      </c>
      <c r="J751" s="36" t="n">
        <v>3</v>
      </c>
      <c r="K751" s="74">
        <f>IFERROR(I751/J751,0)</f>
        <v/>
      </c>
      <c r="L751" s="36" t="n">
        <v>256</v>
      </c>
      <c r="M751" s="36" t="n">
        <v>5114</v>
      </c>
      <c r="N751" s="36" t="n">
        <v>0</v>
      </c>
      <c r="O751" s="35" t="inlineStr">
        <is>
          <t>Image_Carrousel</t>
        </is>
      </c>
    </row>
    <row r="752" ht="13.5" customHeight="1" s="109">
      <c r="A752" s="72" t="inlineStr">
        <is>
          <t>https://www.instagram.com/p/DT-0NETjDLd/</t>
        </is>
      </c>
      <c r="B752" s="72" t="inlineStr">
        <is>
          <t>Societe &amp; Droits</t>
        </is>
      </c>
      <c r="C752" s="72" t="inlineStr">
        <is>
          <t>Faits de societe</t>
        </is>
      </c>
      <c r="D752" s="73" t="n">
        <v>40</v>
      </c>
      <c r="E752" s="73" t="inlineStr">
        <is>
          <t>N</t>
        </is>
      </c>
      <c r="F752" s="72" t="inlineStr">
        <is>
          <t>Média public suisse, vise la neutralité, souvent perçu légèrement à gauche.</t>
        </is>
      </c>
      <c r="G752" s="73" t="inlineStr">
        <is>
          <t>Oui</t>
        </is>
      </c>
      <c r="H752" s="72" t="inlineStr">
        <is>
          <t>Demande de clarté journalistique face aux informations divergentes.</t>
        </is>
      </c>
      <c r="I752" s="73" t="n">
        <v>1</v>
      </c>
      <c r="J752" s="73" t="n">
        <v>5</v>
      </c>
      <c r="K752" s="74">
        <f>IFERROR(I752/J752,0)</f>
        <v/>
      </c>
      <c r="L752" s="73" t="n">
        <v>46</v>
      </c>
      <c r="M752" s="73" t="n">
        <v>4301</v>
      </c>
      <c r="N752" s="73" t="n">
        <v>0</v>
      </c>
      <c r="O752" s="72" t="inlineStr">
        <is>
          <t>Image_Carrousel</t>
        </is>
      </c>
    </row>
    <row r="753" ht="13.5" customHeight="1" s="109">
      <c r="A753" s="35" t="inlineStr">
        <is>
          <t>https://www.instagram.com/p/DUBf_dRkld5/</t>
        </is>
      </c>
      <c r="B753" s="35" t="inlineStr">
        <is>
          <t>Societe &amp; Droits</t>
        </is>
      </c>
      <c r="C753" s="35" t="inlineStr">
        <is>
          <t>Faits de societe</t>
        </is>
      </c>
      <c r="D753" s="36" t="n">
        <v>30</v>
      </c>
      <c r="E753" s="36" t="inlineStr">
        <is>
          <t>G</t>
        </is>
      </c>
      <c r="F753" s="35" t="inlineStr">
        <is>
          <t>RTS cadre le récit sur l'espoir et la mobilisation citoyenne face à l'injustice.</t>
        </is>
      </c>
      <c r="G753" s="36" t="inlineStr">
        <is>
          <t>Oui</t>
        </is>
      </c>
      <c r="H753" s="35" t="inlineStr">
        <is>
          <t>Contestation du traitement médiatique et focalisation sur sujets étrangers.</t>
        </is>
      </c>
      <c r="I753" s="36" t="n">
        <v>2</v>
      </c>
      <c r="J753" s="36" t="n">
        <v>4</v>
      </c>
      <c r="K753" s="74">
        <f>IFERROR(I753/J753,0)</f>
        <v/>
      </c>
      <c r="L753" s="36" t="n">
        <v>60</v>
      </c>
      <c r="M753" s="36" t="n">
        <v>1891</v>
      </c>
      <c r="N753" s="36" t="n">
        <v>62095</v>
      </c>
      <c r="O753" s="35" t="inlineStr">
        <is>
          <t>Video</t>
        </is>
      </c>
    </row>
    <row r="754" ht="13.5" customHeight="1" s="109">
      <c r="A754" s="72" t="inlineStr">
        <is>
          <t>https://www.instagram.com/p/DT7yzJ5gkFk/</t>
        </is>
      </c>
      <c r="B754" s="72" t="inlineStr">
        <is>
          <t>Culture &amp; Loisirs</t>
        </is>
      </c>
      <c r="C754" s="72" t="inlineStr">
        <is>
          <t>Sport</t>
        </is>
      </c>
      <c r="D754" s="73" t="n">
        <v>50</v>
      </c>
      <c r="E754" s="73" t="inlineStr">
        <is>
          <t>N</t>
        </is>
      </c>
      <c r="F754" s="72" t="inlineStr">
        <is>
          <t>Reportage factuel sur un événement sportif par un média public Suisse.</t>
        </is>
      </c>
      <c r="G754" s="73" t="inlineStr">
        <is>
          <t>Non</t>
        </is>
      </c>
      <c r="H754" s="72" t="inlineStr">
        <is>
          <t>Aucun reproche sur le biais, le ton ou le choix du sujet n'a été formulé.</t>
        </is>
      </c>
      <c r="I754" s="73" t="n">
        <v>0</v>
      </c>
      <c r="J754" s="73" t="n">
        <v>10</v>
      </c>
      <c r="K754" s="74">
        <f>IFERROR(I754/J754,0)</f>
        <v/>
      </c>
      <c r="L754" s="73" t="n">
        <v>14</v>
      </c>
      <c r="M754" s="73" t="n">
        <v>3861</v>
      </c>
      <c r="N754" s="73" t="n">
        <v>0</v>
      </c>
      <c r="O754" s="72" t="inlineStr">
        <is>
          <t>Image_Carrousel</t>
        </is>
      </c>
    </row>
    <row r="755" ht="13.5" customHeight="1" s="109">
      <c r="A755" s="35" t="inlineStr">
        <is>
          <t>https://www.instagram.com/p/DT7KzoCD94e/</t>
        </is>
      </c>
      <c r="B755" s="35" t="inlineStr">
        <is>
          <t>Sante</t>
        </is>
      </c>
      <c r="C755" s="35" t="inlineStr">
        <is>
          <t>Sante publique</t>
        </is>
      </c>
      <c r="D755" s="36" t="n">
        <v>50</v>
      </c>
      <c r="E755" s="36" t="inlineStr">
        <is>
          <t>N</t>
        </is>
      </c>
      <c r="F755" s="35" t="inlineStr">
        <is>
          <t>Fact-check neutre d'une étude, évitant les conclusions hâtives et rappelant les limites.</t>
        </is>
      </c>
      <c r="G755" s="36" t="inlineStr">
        <is>
          <t>Oui</t>
        </is>
      </c>
      <c r="H755" s="35" t="inlineStr">
        <is>
          <t>Accusation de biais pro-lobby et manque de professionnalisme.</t>
        </is>
      </c>
      <c r="I755" s="36" t="n">
        <v>1</v>
      </c>
      <c r="J755" s="36" t="n">
        <v>7</v>
      </c>
      <c r="K755" s="74">
        <f>IFERROR(I755/J755,0)</f>
        <v/>
      </c>
      <c r="L755" s="36" t="n">
        <v>11</v>
      </c>
      <c r="M755" s="36" t="n">
        <v>827</v>
      </c>
      <c r="N755" s="36" t="n">
        <v>25116</v>
      </c>
      <c r="O755" s="35" t="inlineStr">
        <is>
          <t>Video</t>
        </is>
      </c>
    </row>
    <row r="756" ht="13.5" customHeight="1" s="109">
      <c r="A756" s="72" t="inlineStr">
        <is>
          <t>https://www.instagram.com/p/DT8dH61lcBE/</t>
        </is>
      </c>
      <c r="B756" s="72" t="inlineStr">
        <is>
          <t>Sante</t>
        </is>
      </c>
      <c r="C756" s="72" t="inlineStr">
        <is>
          <t>Sante publique</t>
        </is>
      </c>
      <c r="D756" s="73" t="n">
        <v>45</v>
      </c>
      <c r="E756" s="73" t="inlineStr">
        <is>
          <t>N</t>
        </is>
      </c>
      <c r="F756" s="72" t="inlineStr">
        <is>
          <t>RTS, média public suisse, traite un sujet social/psychologique de manière factuelle.</t>
        </is>
      </c>
      <c r="G756" s="73" t="inlineStr">
        <is>
          <t>Oui</t>
        </is>
      </c>
      <c r="H756" s="72" t="inlineStr">
        <is>
          <t>Ton, exactitude initiale et impact émotionnel sur les lecteurs.</t>
        </is>
      </c>
      <c r="I756" s="73" t="n">
        <v>4</v>
      </c>
      <c r="J756" s="73" t="n">
        <v>5</v>
      </c>
      <c r="K756" s="74">
        <f>IFERROR(I756/J756,0)</f>
        <v/>
      </c>
      <c r="L756" s="73" t="n">
        <v>134</v>
      </c>
      <c r="M756" s="73" t="n">
        <v>7191</v>
      </c>
      <c r="N756" s="73" t="n">
        <v>0</v>
      </c>
      <c r="O756" s="72" t="inlineStr">
        <is>
          <t>Image_Carrousel</t>
        </is>
      </c>
    </row>
    <row r="757" ht="13.5" customHeight="1" s="109">
      <c r="A757" s="35" t="inlineStr">
        <is>
          <t>https://www.instagram.com/p/DT-YuDuCK-6/</t>
        </is>
      </c>
      <c r="B757" s="35" t="inlineStr">
        <is>
          <t>International</t>
        </is>
      </c>
      <c r="C757" s="35" t="inlineStr">
        <is>
          <t>Conflits</t>
        </is>
      </c>
      <c r="D757" s="36" t="n">
        <v>40</v>
      </c>
      <c r="E757" s="36" t="inlineStr">
        <is>
          <t>G</t>
        </is>
      </c>
      <c r="F757" s="35" t="inlineStr">
        <is>
          <t>Média public, met en avant l'ONU et l'UNRWA, dénonce les attaques et violations.</t>
        </is>
      </c>
      <c r="G757" s="36" t="inlineStr">
        <is>
          <t>Oui</t>
        </is>
      </c>
      <c r="H757" s="35" t="inlineStr">
        <is>
          <t>Accusé de ne pas nommer explicitement le coupable de l'incendie.</t>
        </is>
      </c>
      <c r="I757" s="36" t="n">
        <v>1</v>
      </c>
      <c r="J757" s="36" t="n">
        <v>2</v>
      </c>
      <c r="K757" s="74">
        <f>IFERROR(I757/J757,0)</f>
        <v/>
      </c>
      <c r="L757" s="36" t="n">
        <v>97</v>
      </c>
      <c r="M757" s="36" t="n">
        <v>2517</v>
      </c>
      <c r="N757" s="36" t="n">
        <v>0</v>
      </c>
      <c r="O757" s="35" t="inlineStr">
        <is>
          <t>Image_Carrousel</t>
        </is>
      </c>
    </row>
    <row r="758" ht="13.5" customHeight="1" s="109">
      <c r="A758" s="72" t="inlineStr">
        <is>
          <t>https://www.instagram.com/p/DT5qrGyCJaa/</t>
        </is>
      </c>
      <c r="B758" s="72" t="inlineStr">
        <is>
          <t>Securite &amp; Justice</t>
        </is>
      </c>
      <c r="C758" s="72" t="inlineStr">
        <is>
          <t>Ordre public</t>
        </is>
      </c>
      <c r="D758" s="73" t="n">
        <v>50</v>
      </c>
      <c r="E758" s="73" t="inlineStr">
        <is>
          <t>N</t>
        </is>
      </c>
      <c r="F758" s="72" t="inlineStr">
        <is>
          <t>Information factuelle et d'utilité publique concernant la fraude et la vigilance requise.</t>
        </is>
      </c>
      <c r="G758" s="73" t="inlineStr">
        <is>
          <t>Non</t>
        </is>
      </c>
      <c r="H758" s="72" t="n"/>
      <c r="I758" s="73" t="n">
        <v>0</v>
      </c>
      <c r="J758" s="73" t="n">
        <v>8</v>
      </c>
      <c r="K758" s="74">
        <f>IFERROR(I758/J758,0)</f>
        <v/>
      </c>
      <c r="L758" s="73" t="n">
        <v>52</v>
      </c>
      <c r="M758" s="73" t="n">
        <v>14271</v>
      </c>
      <c r="N758" s="73" t="n">
        <v>1122358</v>
      </c>
      <c r="O758" s="72" t="inlineStr">
        <is>
          <t>Video</t>
        </is>
      </c>
    </row>
    <row r="759" ht="13.5" customHeight="1" s="109">
      <c r="A759" s="35" t="inlineStr">
        <is>
          <t>https://www.instagram.com/p/DUBg6Tpke0M/</t>
        </is>
      </c>
      <c r="B759" s="35" t="inlineStr">
        <is>
          <t>Securite &amp; Justice</t>
        </is>
      </c>
      <c r="C759" s="35" t="inlineStr">
        <is>
          <t>Justice</t>
        </is>
      </c>
      <c r="D759" s="36" t="n">
        <v>35</v>
      </c>
      <c r="E759" s="36" t="inlineStr">
        <is>
          <t>G</t>
        </is>
      </c>
      <c r="F759" s="35" t="inlineStr">
        <is>
          <t>Média public, donnant la parole aux victimes et cherchant la responsabilité.</t>
        </is>
      </c>
      <c r="G759" s="36" t="inlineStr">
        <is>
          <t>Oui</t>
        </is>
      </c>
      <c r="H759" s="35" t="inlineStr">
        <is>
          <t>Certains jugent la couverture médiatique prolongée non pertinente.</t>
        </is>
      </c>
      <c r="I759" s="36" t="n">
        <v>1</v>
      </c>
      <c r="J759" s="36" t="n">
        <v>4</v>
      </c>
      <c r="K759" s="74">
        <f>IFERROR(I759/J759,0)</f>
        <v/>
      </c>
      <c r="L759" s="36" t="n">
        <v>194</v>
      </c>
      <c r="M759" s="36" t="n">
        <v>16458</v>
      </c>
      <c r="N759" s="36" t="n">
        <v>339509</v>
      </c>
      <c r="O759" s="35" t="inlineStr">
        <is>
          <t>Video</t>
        </is>
      </c>
    </row>
    <row r="760" ht="13.5" customHeight="1" s="109">
      <c r="A760" s="72" t="inlineStr">
        <is>
          <t>https://www.instagram.com/p/DT8SizgDCdm/</t>
        </is>
      </c>
      <c r="B760" s="72" t="inlineStr">
        <is>
          <t>Securite &amp; Justice</t>
        </is>
      </c>
      <c r="C760" s="72" t="inlineStr">
        <is>
          <t>Activites de Police</t>
        </is>
      </c>
      <c r="D760" s="73" t="n">
        <v>25</v>
      </c>
      <c r="E760" s="73" t="inlineStr">
        <is>
          <t>G</t>
        </is>
      </c>
      <c r="F760" s="72" t="inlineStr">
        <is>
          <t>Questionne l'autorité et défie le récit officiel par des preuves vidéo contraires.</t>
        </is>
      </c>
      <c r="G760" s="73" t="inlineStr">
        <is>
          <t>Oui</t>
        </is>
      </c>
      <c r="H760" s="72" t="inlineStr">
        <is>
          <t>Accusé de ne pas montrer toutes les vidéos et de manquer de transparence.</t>
        </is>
      </c>
      <c r="I760" s="73" t="n">
        <v>2</v>
      </c>
      <c r="J760" s="73" t="n">
        <v>8</v>
      </c>
      <c r="K760" s="74">
        <f>IFERROR(I760/J760,0)</f>
        <v/>
      </c>
      <c r="L760" s="73" t="n">
        <v>354</v>
      </c>
      <c r="M760" s="73" t="n">
        <v>8294</v>
      </c>
      <c r="N760" s="73" t="n">
        <v>0</v>
      </c>
      <c r="O760" s="72" t="inlineStr">
        <is>
          <t>Image_Carrousel</t>
        </is>
      </c>
    </row>
    <row r="761" ht="13.5" customHeight="1" s="109">
      <c r="A761" s="35" t="inlineStr">
        <is>
          <t>https://www.instagram.com/p/DT54XO-jXz5/</t>
        </is>
      </c>
      <c r="B761" s="35" t="inlineStr">
        <is>
          <t>Sante</t>
        </is>
      </c>
      <c r="C761" s="35" t="inlineStr">
        <is>
          <t>Prevention</t>
        </is>
      </c>
      <c r="D761" s="36" t="n">
        <v>50</v>
      </c>
      <c r="E761" s="36" t="inlineStr">
        <is>
          <t>N</t>
        </is>
      </c>
      <c r="F761" s="35" t="inlineStr">
        <is>
          <t>Information factuelle et de prévention par média de service public.</t>
        </is>
      </c>
      <c r="G761" s="36" t="inlineStr">
        <is>
          <t>Oui</t>
        </is>
      </c>
      <c r="H761" s="35" t="inlineStr">
        <is>
          <t>Manque de précision sur l'équipement (DVA récent).</t>
        </is>
      </c>
      <c r="I761" s="36" t="n">
        <v>1</v>
      </c>
      <c r="J761" s="36" t="n">
        <v>4</v>
      </c>
      <c r="K761" s="74">
        <f>IFERROR(I761/J761,0)</f>
        <v/>
      </c>
      <c r="L761" s="36" t="n">
        <v>13</v>
      </c>
      <c r="M761" s="36" t="n">
        <v>5736</v>
      </c>
      <c r="N761" s="36" t="n">
        <v>0</v>
      </c>
      <c r="O761" s="35" t="inlineStr">
        <is>
          <t>Image_Carrousel</t>
        </is>
      </c>
    </row>
    <row r="762" ht="13.5" customHeight="1" s="109">
      <c r="A762" s="72" t="inlineStr">
        <is>
          <t>https://www.instagram.com/p/DT-R28vlwLD/</t>
        </is>
      </c>
      <c r="B762" s="72" t="inlineStr">
        <is>
          <t>Economie &amp; Travail</t>
        </is>
      </c>
      <c r="C762" s="72" t="inlineStr">
        <is>
          <t>Consommation</t>
        </is>
      </c>
      <c r="D762" s="73" t="n">
        <v>50</v>
      </c>
      <c r="E762" s="73" t="inlineStr">
        <is>
          <t>N</t>
        </is>
      </c>
      <c r="F762" s="72" t="inlineStr">
        <is>
          <t>Média de service public, rapporte les faits économiques de manière neutre.</t>
        </is>
      </c>
      <c r="G762" s="73" t="inlineStr">
        <is>
          <t>Non</t>
        </is>
      </c>
      <c r="H762" s="72" t="n"/>
      <c r="I762" s="73" t="n">
        <v>0</v>
      </c>
      <c r="J762" s="73" t="n">
        <v>7</v>
      </c>
      <c r="K762" s="74">
        <f>IFERROR(I762/J762,0)</f>
        <v/>
      </c>
      <c r="L762" s="73" t="n">
        <v>17</v>
      </c>
      <c r="M762" s="73" t="n">
        <v>6678</v>
      </c>
      <c r="N762" s="73" t="n">
        <v>0</v>
      </c>
      <c r="O762" s="72" t="inlineStr">
        <is>
          <t>Image_Carrousel</t>
        </is>
      </c>
    </row>
    <row r="763" ht="13.5" customHeight="1" s="109">
      <c r="A763" s="35" t="inlineStr">
        <is>
          <t>https://www.instagram.com/p/DT7jWtwDwCb/</t>
        </is>
      </c>
      <c r="B763" s="35" t="inlineStr">
        <is>
          <t>Environnement &amp; Nature</t>
        </is>
      </c>
      <c r="C763" s="35" t="inlineStr">
        <is>
          <t>Climat / Ecologie</t>
        </is>
      </c>
      <c r="D763" s="36" t="n">
        <v>50</v>
      </c>
      <c r="E763" s="36" t="inlineStr">
        <is>
          <t>N</t>
        </is>
      </c>
      <c r="F763" s="35" t="inlineStr">
        <is>
          <t>Reportage factuel sur un événement météo majeur, sans opinion ou analyse politique.</t>
        </is>
      </c>
      <c r="G763" s="36" t="inlineStr">
        <is>
          <t>Non</t>
        </is>
      </c>
      <c r="H763" s="35" t="inlineStr">
        <is>
          <t>Aucune critique du média dans les commentaires.</t>
        </is>
      </c>
      <c r="I763" s="36" t="n">
        <v>0</v>
      </c>
      <c r="J763" s="36" t="n">
        <v>3</v>
      </c>
      <c r="K763" s="74">
        <f>IFERROR(I763/J763,0)</f>
        <v/>
      </c>
      <c r="L763" s="36" t="n">
        <v>93</v>
      </c>
      <c r="M763" s="36" t="n">
        <v>2564</v>
      </c>
      <c r="N763" s="36" t="n">
        <v>0</v>
      </c>
      <c r="O763" s="35" t="inlineStr">
        <is>
          <t>Image_Carrousel</t>
        </is>
      </c>
    </row>
    <row r="764" ht="13.5" customHeight="1" s="109">
      <c r="A764" s="72" t="inlineStr">
        <is>
          <t>https://www.instagram.com/p/DUDm-cbFufu/</t>
        </is>
      </c>
      <c r="B764" s="72" t="inlineStr">
        <is>
          <t>Sante</t>
        </is>
      </c>
      <c r="C764" s="72" t="inlineStr">
        <is>
          <t>Sante publique</t>
        </is>
      </c>
      <c r="D764" s="73" t="n">
        <v>40</v>
      </c>
      <c r="E764" s="73" t="inlineStr">
        <is>
          <t>N</t>
        </is>
      </c>
      <c r="F764" s="72" t="inlineStr">
        <is>
          <t>Média de service public, informatif, utilise un langage inclusif.</t>
        </is>
      </c>
      <c r="G764" s="73" t="inlineStr">
        <is>
          <t>Oui</t>
        </is>
      </c>
      <c r="H764" s="72" t="inlineStr">
        <is>
          <t>Demande plus de détails sur la source de pollution.</t>
        </is>
      </c>
      <c r="I764" s="73" t="n">
        <v>1</v>
      </c>
      <c r="J764" s="73" t="n">
        <v>7</v>
      </c>
      <c r="K764" s="74">
        <f>IFERROR(I764/J764,0)</f>
        <v/>
      </c>
      <c r="L764" s="73" t="n">
        <v>42</v>
      </c>
      <c r="M764" s="73" t="n">
        <v>4854</v>
      </c>
      <c r="N764" s="73" t="n">
        <v>0</v>
      </c>
      <c r="O764" s="72" t="inlineStr">
        <is>
          <t>Image_Carrousel</t>
        </is>
      </c>
    </row>
    <row r="765" ht="13.5" customHeight="1" s="109">
      <c r="A765" s="35" t="inlineStr">
        <is>
          <t>https://www.instagram.com/p/DT-7JVPArpL/</t>
        </is>
      </c>
      <c r="B765" s="35" t="inlineStr">
        <is>
          <t>Societe &amp; Droits</t>
        </is>
      </c>
      <c r="C765" s="35" t="inlineStr">
        <is>
          <t>Faits de societe</t>
        </is>
      </c>
      <c r="D765" s="36" t="n">
        <v>45</v>
      </c>
      <c r="E765" s="36" t="inlineStr">
        <is>
          <t>N</t>
        </is>
      </c>
      <c r="F765" s="35" t="inlineStr">
        <is>
          <t>Média de service public suisse, vise l'impartialité.</t>
        </is>
      </c>
      <c r="G765" s="36" t="inlineStr">
        <is>
          <t>Oui</t>
        </is>
      </c>
      <c r="H765" s="35" t="inlineStr">
        <is>
          <t>Remet en question la nouveauté de la découverte présentée.</t>
        </is>
      </c>
      <c r="I765" s="36" t="n">
        <v>1</v>
      </c>
      <c r="J765" s="36" t="n">
        <v>9</v>
      </c>
      <c r="K765" s="74">
        <f>IFERROR(I765/J765,0)</f>
        <v/>
      </c>
      <c r="L765" s="36" t="n">
        <v>15</v>
      </c>
      <c r="M765" s="36" t="n">
        <v>3074</v>
      </c>
      <c r="N765" s="36" t="n">
        <v>38269</v>
      </c>
      <c r="O765" s="35" t="inlineStr">
        <is>
          <t>Video</t>
        </is>
      </c>
    </row>
    <row r="766" ht="13.5" customHeight="1" s="109">
      <c r="A766" s="72" t="inlineStr">
        <is>
          <t>https://www.instagram.com/p/DT57JcKlrOo/</t>
        </is>
      </c>
      <c r="B766" s="72" t="inlineStr">
        <is>
          <t>Securite &amp; Justice</t>
        </is>
      </c>
      <c r="C766" s="72" t="inlineStr">
        <is>
          <t>Activites de Police</t>
        </is>
      </c>
      <c r="D766" s="73" t="n">
        <v>25</v>
      </c>
      <c r="E766" s="73" t="inlineStr">
        <is>
          <t>G</t>
        </is>
      </c>
      <c r="F766" s="72" t="inlineStr">
        <is>
          <t>Critique actions agents fédéraux, cite gouverneur démocrate condamnant la violence.</t>
        </is>
      </c>
      <c r="G766" s="73" t="inlineStr">
        <is>
          <t>Oui</t>
        </is>
      </c>
      <c r="H766" s="72" t="inlineStr">
        <is>
          <t>Confusion entre ICE et police générale reprochée.</t>
        </is>
      </c>
      <c r="I766" s="73" t="n">
        <v>1</v>
      </c>
      <c r="J766" s="73" t="n">
        <v>2</v>
      </c>
      <c r="K766" s="74">
        <f>IFERROR(I766/J766,0)</f>
        <v/>
      </c>
      <c r="L766" s="73" t="n">
        <v>300</v>
      </c>
      <c r="M766" s="73" t="n">
        <v>5882</v>
      </c>
      <c r="N766" s="73" t="n">
        <v>0</v>
      </c>
      <c r="O766" s="72" t="inlineStr">
        <is>
          <t>Image_Carrousel</t>
        </is>
      </c>
    </row>
    <row r="767" ht="13.5" customHeight="1" s="109">
      <c r="A767" s="35" t="inlineStr">
        <is>
          <t>https://www.instagram.com/p/DT7b5aLkRsV/</t>
        </is>
      </c>
      <c r="B767" s="35" t="inlineStr">
        <is>
          <t>Societe &amp; Droits</t>
        </is>
      </c>
      <c r="C767" s="35" t="inlineStr">
        <is>
          <t>Faits de societe</t>
        </is>
      </c>
      <c r="D767" s="36" t="n">
        <v>40</v>
      </c>
      <c r="E767" s="36" t="inlineStr">
        <is>
          <t>N</t>
        </is>
      </c>
      <c r="F767" s="35" t="inlineStr">
        <is>
          <t>Média public axé sur l'information factuelle et la contextualisation sociale.</t>
        </is>
      </c>
      <c r="G767" s="36" t="inlineStr">
        <is>
          <t>Non</t>
        </is>
      </c>
      <c r="H767" s="35" t="inlineStr">
        <is>
          <t>Aucun commentaire ne critique le média ou sa couverture.</t>
        </is>
      </c>
      <c r="I767" s="36" t="n">
        <v>0</v>
      </c>
      <c r="J767" s="36" t="n">
        <v>6</v>
      </c>
      <c r="K767" s="74">
        <f>IFERROR(I767/J767,0)</f>
        <v/>
      </c>
      <c r="L767" s="36" t="n">
        <v>50</v>
      </c>
      <c r="M767" s="36" t="n">
        <v>4402</v>
      </c>
      <c r="N767" s="36" t="n">
        <v>0</v>
      </c>
      <c r="O767" s="35" t="inlineStr">
        <is>
          <t>Image_Carrousel</t>
        </is>
      </c>
    </row>
    <row r="768" ht="13.5" customHeight="1" s="109">
      <c r="A768" s="72" t="inlineStr">
        <is>
          <t>https://www.instagram.com/p/DT8WRNWFGZk/</t>
        </is>
      </c>
      <c r="B768" s="72" t="inlineStr">
        <is>
          <t>Sante</t>
        </is>
      </c>
      <c r="C768" s="72" t="inlineStr">
        <is>
          <t>Sante publique</t>
        </is>
      </c>
      <c r="D768" s="73" t="n">
        <v>35</v>
      </c>
      <c r="E768" s="73" t="inlineStr">
        <is>
          <t>G</t>
        </is>
      </c>
      <c r="F768" s="72" t="inlineStr">
        <is>
          <t>Média public, sujet bien-être. Un commentateur le juge 'gauchiste' pour ses choix éditoriaux.</t>
        </is>
      </c>
      <c r="G768" s="73" t="inlineStr">
        <is>
          <t>Oui</t>
        </is>
      </c>
      <c r="H768" s="72" t="inlineStr">
        <is>
          <t>Accusation de biais 'gauchiste' et de cibler l'homme blanc.</t>
        </is>
      </c>
      <c r="I768" s="73" t="n">
        <v>1</v>
      </c>
      <c r="J768" s="73" t="n">
        <v>4</v>
      </c>
      <c r="K768" s="74">
        <f>IFERROR(I768/J768,0)</f>
        <v/>
      </c>
      <c r="L768" s="73" t="n">
        <v>15</v>
      </c>
      <c r="M768" s="73" t="n">
        <v>1734</v>
      </c>
      <c r="N768" s="73" t="n">
        <v>0</v>
      </c>
      <c r="O768" s="72" t="inlineStr">
        <is>
          <t>Image_Carrousel</t>
        </is>
      </c>
    </row>
    <row r="769" ht="13.5" customHeight="1" s="109">
      <c r="A769" s="35" t="inlineStr">
        <is>
          <t>https://www.instagram.com/p/DT8IhlDlm61/</t>
        </is>
      </c>
      <c r="B769" s="35" t="inlineStr">
        <is>
          <t>Culture &amp; Loisirs</t>
        </is>
      </c>
      <c r="C769" s="35" t="inlineStr">
        <is>
          <t>Arts</t>
        </is>
      </c>
      <c r="D769" s="36" t="n">
        <v>50</v>
      </c>
      <c r="E769" s="36" t="inlineStr">
        <is>
          <t>N</t>
        </is>
      </c>
      <c r="F769" s="35" t="inlineStr">
        <is>
          <t>Média public suisse, vise l'information neutre et factuelle sur la culture.</t>
        </is>
      </c>
      <c r="G769" s="36" t="inlineStr">
        <is>
          <t>Non</t>
        </is>
      </c>
      <c r="H769" s="35" t="inlineStr">
        <is>
          <t>Aucune critique du media dans les commentaires.</t>
        </is>
      </c>
      <c r="I769" s="36" t="n">
        <v>0</v>
      </c>
      <c r="J769" s="36" t="n">
        <v>9</v>
      </c>
      <c r="K769" s="74">
        <f>IFERROR(I769/J769,0)</f>
        <v/>
      </c>
      <c r="L769" s="36" t="n">
        <v>12</v>
      </c>
      <c r="M769" s="36" t="n">
        <v>3406</v>
      </c>
      <c r="N769" s="36" t="n">
        <v>0</v>
      </c>
      <c r="O769" s="35" t="inlineStr">
        <is>
          <t>Image_Carrousel</t>
        </is>
      </c>
    </row>
    <row r="770" ht="13.5" customHeight="1" s="109">
      <c r="A770" s="72" t="inlineStr">
        <is>
          <t>https://www.instagram.com/p/DT-nq-mjH-1/</t>
        </is>
      </c>
      <c r="B770" s="72" t="inlineStr">
        <is>
          <t>Societe &amp; Droits</t>
        </is>
      </c>
      <c r="C770" s="72" t="inlineStr">
        <is>
          <t>Questions de Genre</t>
        </is>
      </c>
      <c r="D770" s="73" t="n">
        <v>45</v>
      </c>
      <c r="E770" s="73" t="inlineStr">
        <is>
          <t>N</t>
        </is>
      </c>
      <c r="F770" s="72" t="inlineStr">
        <is>
          <t>RTS, service public, rapport factuel et offre des ressources d'aide, sensible aux questions de société.</t>
        </is>
      </c>
      <c r="G770" s="73" t="inlineStr">
        <is>
          <t>Non</t>
        </is>
      </c>
      <c r="H770" s="72" t="inlineStr">
        <is>
          <t>Aucune critique explicite du média ou de son traitement de l'information.</t>
        </is>
      </c>
      <c r="I770" s="73" t="n">
        <v>0</v>
      </c>
      <c r="J770" s="73" t="n">
        <v>7</v>
      </c>
      <c r="K770" s="74">
        <f>IFERROR(I770/J770,0)</f>
        <v/>
      </c>
      <c r="L770" s="73" t="n">
        <v>238</v>
      </c>
      <c r="M770" s="73" t="n">
        <v>10092</v>
      </c>
      <c r="N770" s="73" t="n">
        <v>0</v>
      </c>
      <c r="O770" s="72" t="inlineStr">
        <is>
          <t>Image_Carrousel</t>
        </is>
      </c>
    </row>
    <row r="771" ht="13.5" customHeight="1" s="109">
      <c r="A771" s="35" t="inlineStr">
        <is>
          <t>https://www.instagram.com/p/DT7tG8MjEEI/</t>
        </is>
      </c>
      <c r="B771" s="35" t="inlineStr">
        <is>
          <t>Societe &amp; Droits</t>
        </is>
      </c>
      <c r="C771" s="35" t="inlineStr">
        <is>
          <t>Faits de societe</t>
        </is>
      </c>
      <c r="D771" s="36" t="n">
        <v>25</v>
      </c>
      <c r="E771" s="36" t="inlineStr">
        <is>
          <t>G</t>
        </is>
      </c>
      <c r="F771" s="35" t="inlineStr">
        <is>
          <t>Met en avant les avancées pour les droits animaux face aux lobbies économiques, ton progressiste.</t>
        </is>
      </c>
      <c r="G771" s="36" t="inlineStr">
        <is>
          <t>Oui</t>
        </is>
      </c>
      <c r="H771" s="35" t="inlineStr">
        <is>
          <t>Manque d'infos locales suisses, pertinence des "avancées majeures" questionnée.</t>
        </is>
      </c>
      <c r="I771" s="36" t="n">
        <v>2</v>
      </c>
      <c r="J771" s="36" t="n">
        <v>9</v>
      </c>
      <c r="K771" s="74">
        <f>IFERROR(I771/J771,0)</f>
        <v/>
      </c>
      <c r="L771" s="36" t="n">
        <v>72</v>
      </c>
      <c r="M771" s="36" t="n">
        <v>9842</v>
      </c>
      <c r="N771" s="36" t="n">
        <v>0</v>
      </c>
      <c r="O771" s="35" t="inlineStr">
        <is>
          <t>Image_Carrousel</t>
        </is>
      </c>
    </row>
    <row r="772" ht="13.5" customHeight="1" s="109">
      <c r="A772" s="72" t="inlineStr">
        <is>
          <t>https://www.instagram.com/p/DT5BNpdjUrX/</t>
        </is>
      </c>
      <c r="B772" s="72" t="inlineStr">
        <is>
          <t>Securite &amp; Justice</t>
        </is>
      </c>
      <c r="C772" s="72" t="inlineStr">
        <is>
          <t>Justice</t>
        </is>
      </c>
      <c r="D772" s="73" t="n">
        <v>45</v>
      </c>
      <c r="E772" s="73" t="inlineStr">
        <is>
          <t>N</t>
        </is>
      </c>
      <c r="F772" s="72" t="inlineStr">
        <is>
          <t>Rapport factuel, équilibré entre la décision judiciaire suisse et la réaction diplomatique italienne.</t>
        </is>
      </c>
      <c r="G772" s="73" t="inlineStr">
        <is>
          <t>Non</t>
        </is>
      </c>
      <c r="H772" s="72" t="inlineStr">
        <is>
          <t>Aucune critique directe du média dans les commentaires.</t>
        </is>
      </c>
      <c r="I772" s="73" t="n">
        <v>0</v>
      </c>
      <c r="J772" s="73" t="n">
        <v>6</v>
      </c>
      <c r="K772" s="74">
        <f>IFERROR(I772/J772,0)</f>
        <v/>
      </c>
      <c r="L772" s="73" t="n">
        <v>528</v>
      </c>
      <c r="M772" s="73" t="n">
        <v>11428</v>
      </c>
      <c r="N772" s="73" t="n">
        <v>0</v>
      </c>
      <c r="O772" s="72" t="inlineStr">
        <is>
          <t>Image_Carrousel</t>
        </is>
      </c>
    </row>
    <row r="773" ht="13.5" customHeight="1" s="109">
      <c r="A773" s="35" t="inlineStr">
        <is>
          <t>https://www.instagram.com/p/DT5VXLagtGf/</t>
        </is>
      </c>
      <c r="B773" s="35" t="inlineStr">
        <is>
          <t>Culture &amp; Loisirs</t>
        </is>
      </c>
      <c r="C773" s="35" t="inlineStr">
        <is>
          <t>Sport</t>
        </is>
      </c>
      <c r="D773" s="36" t="n">
        <v>50</v>
      </c>
      <c r="E773" s="36" t="inlineStr">
        <is>
          <t>N</t>
        </is>
      </c>
      <c r="F773" s="35" t="inlineStr">
        <is>
          <t>RTS, ton neutre et factuel sur un exploit sportif féminin notable.</t>
        </is>
      </c>
      <c r="G773" s="36" t="inlineStr">
        <is>
          <t>Non</t>
        </is>
      </c>
      <c r="H773" s="35" t="n"/>
      <c r="I773" s="36" t="n">
        <v>0</v>
      </c>
      <c r="J773" s="36" t="n">
        <v>9</v>
      </c>
      <c r="K773" s="74">
        <f>IFERROR(I773/J773,0)</f>
        <v/>
      </c>
      <c r="L773" s="36" t="n">
        <v>50</v>
      </c>
      <c r="M773" s="36" t="n">
        <v>7035</v>
      </c>
      <c r="N773" s="36" t="n">
        <v>0</v>
      </c>
      <c r="O773" s="35" t="inlineStr">
        <is>
          <t>Image_Carrousel</t>
        </is>
      </c>
    </row>
    <row r="774" ht="13.5" customHeight="1" s="109">
      <c r="A774" s="72" t="inlineStr">
        <is>
          <t>https://www.instagram.com/p/DT4rgEWglDL/</t>
        </is>
      </c>
      <c r="B774" s="72" t="inlineStr">
        <is>
          <t>Culture &amp; Loisirs</t>
        </is>
      </c>
      <c r="C774" s="72" t="inlineStr">
        <is>
          <t>Sport</t>
        </is>
      </c>
      <c r="D774" s="73" t="n">
        <v>50</v>
      </c>
      <c r="E774" s="73" t="inlineStr">
        <is>
          <t>N</t>
        </is>
      </c>
      <c r="F774" s="72" t="inlineStr">
        <is>
          <t>RTS est un service public, reportage factuel et positif sur une action solidaire.</t>
        </is>
      </c>
      <c r="G774" s="73" t="inlineStr">
        <is>
          <t>Non</t>
        </is>
      </c>
      <c r="H774" s="72" t="n"/>
      <c r="I774" s="73" t="n">
        <v>0</v>
      </c>
      <c r="J774" s="73" t="n">
        <v>10</v>
      </c>
      <c r="K774" s="74">
        <f>IFERROR(I774/J774,0)</f>
        <v/>
      </c>
      <c r="L774" s="73" t="n">
        <v>56</v>
      </c>
      <c r="M774" s="73" t="n">
        <v>4828</v>
      </c>
      <c r="N774" s="73" t="n">
        <v>0</v>
      </c>
      <c r="O774" s="72" t="inlineStr">
        <is>
          <t>Image_Carrousel</t>
        </is>
      </c>
    </row>
    <row r="775" ht="13.5" customHeight="1" s="109">
      <c r="A775" s="35" t="inlineStr">
        <is>
          <t>https://www.instagram.com/p/DT5jvi1k-Am/</t>
        </is>
      </c>
      <c r="B775" s="35" t="inlineStr">
        <is>
          <t>Culture &amp; Loisirs</t>
        </is>
      </c>
      <c r="C775" s="35" t="inlineStr">
        <is>
          <t>Medias</t>
        </is>
      </c>
      <c r="D775" s="36" t="n">
        <v>50</v>
      </c>
      <c r="E775" s="36" t="inlineStr">
        <is>
          <t>N</t>
        </is>
      </c>
      <c r="F775" s="35" t="inlineStr">
        <is>
          <t>Article informatif, sans jugement de valeur sur l'émission de téléréalité.</t>
        </is>
      </c>
      <c r="G775" s="36" t="inlineStr">
        <is>
          <t>Oui</t>
        </is>
      </c>
      <c r="H775" s="35" t="inlineStr">
        <is>
          <t>Un commentaire critique le ton du titre du média et le choix du sujet.</t>
        </is>
      </c>
      <c r="I775" s="36" t="n">
        <v>1</v>
      </c>
      <c r="J775" s="36" t="n">
        <v>9</v>
      </c>
      <c r="K775" s="74">
        <f>IFERROR(I775/J775,0)</f>
        <v/>
      </c>
      <c r="L775" s="36" t="n">
        <v>48</v>
      </c>
      <c r="M775" s="36" t="n">
        <v>3210</v>
      </c>
      <c r="N775" s="36" t="n">
        <v>0</v>
      </c>
      <c r="O775" s="35" t="inlineStr">
        <is>
          <t>Image_Carrousel</t>
        </is>
      </c>
    </row>
    <row r="776" ht="13.5" customHeight="1" s="109">
      <c r="A776" s="72" t="inlineStr">
        <is>
          <t>https://www.instagram.com/p/DT5gSdTiOMI/</t>
        </is>
      </c>
      <c r="B776" s="72" t="inlineStr">
        <is>
          <t>Societe &amp; Droits</t>
        </is>
      </c>
      <c r="C776" s="72" t="inlineStr">
        <is>
          <t>Immigration</t>
        </is>
      </c>
      <c r="D776" s="73" t="n">
        <v>35</v>
      </c>
      <c r="E776" s="73" t="inlineStr">
        <is>
          <t>N</t>
        </is>
      </c>
      <c r="F776" s="72" t="inlineStr">
        <is>
          <t>RTS rapporte l'indignation des manifestants contre la politique d'immigration.</t>
        </is>
      </c>
      <c r="G776" s="73" t="inlineStr">
        <is>
          <t>Non</t>
        </is>
      </c>
      <c r="H776" s="72" t="n"/>
      <c r="I776" s="73" t="n">
        <v>0</v>
      </c>
      <c r="J776" s="73" t="n">
        <v>7</v>
      </c>
      <c r="K776" s="74">
        <f>IFERROR(I776/J776,0)</f>
        <v/>
      </c>
      <c r="L776" s="73" t="n">
        <v>155</v>
      </c>
      <c r="M776" s="73" t="n">
        <v>8237</v>
      </c>
      <c r="N776" s="73" t="n">
        <v>0</v>
      </c>
      <c r="O776" s="72" t="inlineStr">
        <is>
          <t>Image_Carrousel</t>
        </is>
      </c>
    </row>
    <row r="777" ht="13.5" customHeight="1" s="109">
      <c r="A777" s="35" t="inlineStr">
        <is>
          <t>https://www.instagram.com/p/DT9oq1Kj0dU/</t>
        </is>
      </c>
      <c r="B777" s="35" t="inlineStr">
        <is>
          <t>Culture &amp; Loisirs</t>
        </is>
      </c>
      <c r="C777" s="35" t="inlineStr">
        <is>
          <t>Arts</t>
        </is>
      </c>
      <c r="D777" s="36" t="n">
        <v>40</v>
      </c>
      <c r="E777" s="36" t="inlineStr">
        <is>
          <t>N</t>
        </is>
      </c>
      <c r="F777" s="35" t="inlineStr">
        <is>
          <t>RTSinfo, média public suisse, adopte un ton factuel et équilibré.</t>
        </is>
      </c>
      <c r="G777" s="36" t="inlineStr">
        <is>
          <t>Non</t>
        </is>
      </c>
      <c r="H777" s="35" t="n"/>
      <c r="I777" s="36" t="n">
        <v>0</v>
      </c>
      <c r="J777" s="36" t="n">
        <v>9</v>
      </c>
      <c r="K777" s="74">
        <f>IFERROR(I777/J777,0)</f>
        <v/>
      </c>
      <c r="L777" s="36" t="n">
        <v>125</v>
      </c>
      <c r="M777" s="36" t="n">
        <v>3256</v>
      </c>
      <c r="N777" s="36" t="n">
        <v>0</v>
      </c>
      <c r="O777" s="35" t="inlineStr">
        <is>
          <t>Image_Carrousel</t>
        </is>
      </c>
    </row>
    <row r="778" ht="13.5" customHeight="1" s="109">
      <c r="A778" s="72" t="inlineStr">
        <is>
          <t>https://www.instagram.com/p/DT5PJEWmHOX/</t>
        </is>
      </c>
      <c r="B778" s="72" t="inlineStr">
        <is>
          <t>Politique &amp; Institutions</t>
        </is>
      </c>
      <c r="C778" s="72" t="inlineStr">
        <is>
          <t>Autorites</t>
        </is>
      </c>
      <c r="D778" s="73" t="n">
        <v>50</v>
      </c>
      <c r="E778" s="73" t="inlineStr">
        <is>
          <t>N</t>
        </is>
      </c>
      <c r="F778" s="72" t="inlineStr">
        <is>
          <t>Rapportage factuel et neutre, présente les différentes parties prenantes sans jugement éditorial.</t>
        </is>
      </c>
      <c r="G778" s="73" t="inlineStr">
        <is>
          <t>Non</t>
        </is>
      </c>
      <c r="H778" s="72" t="inlineStr">
        <is>
          <t>Aucune critique du média dans les commentaires fournis.</t>
        </is>
      </c>
      <c r="I778" s="73" t="n">
        <v>0</v>
      </c>
      <c r="J778" s="73" t="n">
        <v>3</v>
      </c>
      <c r="K778" s="74">
        <f>IFERROR(I778/J778,0)</f>
        <v/>
      </c>
      <c r="L778" s="73" t="n">
        <v>49</v>
      </c>
      <c r="M778" s="73" t="n">
        <v>2666</v>
      </c>
      <c r="N778" s="73" t="n">
        <v>0</v>
      </c>
      <c r="O778" s="72" t="inlineStr">
        <is>
          <t>Image_Carrousel</t>
        </is>
      </c>
    </row>
    <row r="779" ht="13.5" customHeight="1" s="109">
      <c r="A779" s="35" t="inlineStr">
        <is>
          <t>https://www.instagram.com/p/DT5PII8jPCH/</t>
        </is>
      </c>
      <c r="B779" s="35" t="inlineStr">
        <is>
          <t>Sante</t>
        </is>
      </c>
      <c r="C779" s="35" t="inlineStr">
        <is>
          <t>Sante publique</t>
        </is>
      </c>
      <c r="D779" s="36" t="n">
        <v>40</v>
      </c>
      <c r="E779" s="36" t="inlineStr">
        <is>
          <t>G</t>
        </is>
      </c>
      <c r="F779" s="35" t="inlineStr">
        <is>
          <t>RTSinfo est un média de service public suisse, souvent perçu comme centre-gauche.</t>
        </is>
      </c>
      <c r="G779" s="36" t="inlineStr">
        <is>
          <t>Oui</t>
        </is>
      </c>
      <c r="H779" s="35" t="inlineStr">
        <is>
          <t>Critique une possible simplification de la définition du TDAH.</t>
        </is>
      </c>
      <c r="I779" s="36" t="n">
        <v>1</v>
      </c>
      <c r="J779" s="36" t="n">
        <v>2</v>
      </c>
      <c r="K779" s="74">
        <f>IFERROR(I779/J779,0)</f>
        <v/>
      </c>
      <c r="L779" s="36" t="n">
        <v>101</v>
      </c>
      <c r="M779" s="36" t="n">
        <v>2772</v>
      </c>
      <c r="N779" s="36" t="n">
        <v>0</v>
      </c>
      <c r="O779" s="35" t="inlineStr">
        <is>
          <t>Image_Carrousel</t>
        </is>
      </c>
    </row>
    <row r="780" ht="13.5" customHeight="1" s="109">
      <c r="A780" s="72" t="inlineStr">
        <is>
          <t>https://www.instagram.com/p/DT2XfQ7jQ3n/</t>
        </is>
      </c>
      <c r="B780" s="72" t="inlineStr">
        <is>
          <t>Societe &amp; Droits</t>
        </is>
      </c>
      <c r="C780" s="72" t="inlineStr">
        <is>
          <t>Faits de societe</t>
        </is>
      </c>
      <c r="D780" s="73" t="n">
        <v>45</v>
      </c>
      <c r="E780" s="73" t="inlineStr">
        <is>
          <t>N</t>
        </is>
      </c>
      <c r="F780" s="72" t="inlineStr">
        <is>
          <t>RTS, média public suisse, reportage humain apolitique. Valorise un service public.</t>
        </is>
      </c>
      <c r="G780" s="73" t="inlineStr">
        <is>
          <t>Non</t>
        </is>
      </c>
      <c r="H780" s="72" t="n"/>
      <c r="I780" s="73" t="n">
        <v>0</v>
      </c>
      <c r="J780" s="73" t="n">
        <v>10</v>
      </c>
      <c r="K780" s="74">
        <f>IFERROR(I780/J780,0)</f>
        <v/>
      </c>
      <c r="L780" s="73" t="n">
        <v>87</v>
      </c>
      <c r="M780" s="73" t="n">
        <v>9237</v>
      </c>
      <c r="N780" s="73" t="n">
        <v>0</v>
      </c>
      <c r="O780" s="72" t="inlineStr">
        <is>
          <t>Image_Carrousel</t>
        </is>
      </c>
    </row>
    <row r="781" ht="13.5" customHeight="1" s="109">
      <c r="A781" s="35" t="inlineStr">
        <is>
          <t>https://www.instagram.com/p/DT3F3pADERE/</t>
        </is>
      </c>
      <c r="B781" s="35" t="inlineStr">
        <is>
          <t>Politique &amp; Institutions</t>
        </is>
      </c>
      <c r="C781" s="35" t="inlineStr">
        <is>
          <t>Autorites</t>
        </is>
      </c>
      <c r="D781" s="36" t="n">
        <v>50</v>
      </c>
      <c r="E781" s="36" t="inlineStr">
        <is>
          <t>N</t>
        </is>
      </c>
      <c r="F781" s="35" t="inlineStr">
        <is>
          <t>Article présente les arguments des parties au débat de manière neutre.</t>
        </is>
      </c>
      <c r="G781" s="36" t="inlineStr">
        <is>
          <t>Non</t>
        </is>
      </c>
      <c r="H781" s="35" t="n"/>
      <c r="I781" s="36" t="n">
        <v>0</v>
      </c>
      <c r="J781" s="36" t="n">
        <v>8</v>
      </c>
      <c r="K781" s="74">
        <f>IFERROR(I781/J781,0)</f>
        <v/>
      </c>
      <c r="L781" s="36" t="n">
        <v>73</v>
      </c>
      <c r="M781" s="36" t="n">
        <v>1570</v>
      </c>
      <c r="N781" s="36" t="n">
        <v>52555</v>
      </c>
      <c r="O781" s="35" t="inlineStr">
        <is>
          <t>Video</t>
        </is>
      </c>
    </row>
    <row r="782" ht="13.5" customHeight="1" s="109">
      <c r="A782" s="72" t="inlineStr">
        <is>
          <t>https://www.instagram.com/p/DT3MsUGjTK_/</t>
        </is>
      </c>
      <c r="B782" s="72" t="inlineStr">
        <is>
          <t>Securite &amp; Justice</t>
        </is>
      </c>
      <c r="C782" s="72" t="inlineStr">
        <is>
          <t>Justice</t>
        </is>
      </c>
      <c r="D782" s="73" t="n">
        <v>45</v>
      </c>
      <c r="E782" s="73" t="inlineStr">
        <is>
          <t>N</t>
        </is>
      </c>
      <c r="F782" s="72" t="inlineStr">
        <is>
          <t>RTS Info est un média public suisse, rapportant faits judiciaires de manière factuelle.</t>
        </is>
      </c>
      <c r="G782" s="73" t="inlineStr">
        <is>
          <t>Non</t>
        </is>
      </c>
      <c r="H782" s="72" t="n"/>
      <c r="I782" s="73" t="n">
        <v>0</v>
      </c>
      <c r="J782" s="73" t="n">
        <v>7</v>
      </c>
      <c r="K782" s="74">
        <f>IFERROR(I782/J782,0)</f>
        <v/>
      </c>
      <c r="L782" s="73" t="n">
        <v>35</v>
      </c>
      <c r="M782" s="73" t="n">
        <v>4771</v>
      </c>
      <c r="N782" s="73" t="n">
        <v>0</v>
      </c>
      <c r="O782" s="72" t="inlineStr">
        <is>
          <t>Image_Carrousel</t>
        </is>
      </c>
    </row>
    <row r="783" ht="13.5" customHeight="1" s="109">
      <c r="A783" s="35" t="inlineStr">
        <is>
          <t>https://www.instagram.com/p/DT2_DmyiJJU/</t>
        </is>
      </c>
      <c r="B783" s="35" t="inlineStr">
        <is>
          <t>International</t>
        </is>
      </c>
      <c r="C783" s="35" t="inlineStr">
        <is>
          <t>Geopolitique</t>
        </is>
      </c>
      <c r="D783" s="36" t="n">
        <v>45</v>
      </c>
      <c r="E783" s="36" t="inlineStr">
        <is>
          <t>N</t>
        </is>
      </c>
      <c r="F783" s="35" t="inlineStr">
        <is>
          <t>Explication factuelle et neutre des intérêts géopolitiques sans prise de position marquée.</t>
        </is>
      </c>
      <c r="G783" s="36" t="inlineStr">
        <is>
          <t>Oui</t>
        </is>
      </c>
      <c r="H783" s="35" t="inlineStr">
        <is>
          <t>Question sur la couverture complète d'un sujet connexe (ZEE).</t>
        </is>
      </c>
      <c r="I783" s="36" t="n">
        <v>1</v>
      </c>
      <c r="J783" s="36" t="n">
        <v>5</v>
      </c>
      <c r="K783" s="74">
        <f>IFERROR(I783/J783,0)</f>
        <v/>
      </c>
      <c r="L783" s="36" t="n">
        <v>5</v>
      </c>
      <c r="M783" s="36" t="n">
        <v>1455</v>
      </c>
      <c r="N783" s="36" t="n">
        <v>35745</v>
      </c>
      <c r="O783" s="35" t="inlineStr">
        <is>
          <t>Video</t>
        </is>
      </c>
    </row>
    <row r="784" ht="13.5" customHeight="1" s="109">
      <c r="A784" s="72" t="inlineStr">
        <is>
          <t>https://www.instagram.com/p/DT2crColYyr/</t>
        </is>
      </c>
      <c r="B784" s="72" t="inlineStr">
        <is>
          <t>Politique &amp; Institutions</t>
        </is>
      </c>
      <c r="C784" s="72" t="inlineStr">
        <is>
          <t>Votations</t>
        </is>
      </c>
      <c r="D784" s="73" t="n">
        <v>40</v>
      </c>
      <c r="E784" s="73" t="inlineStr">
        <is>
          <t>N</t>
        </is>
      </c>
      <c r="F784" s="72" t="inlineStr">
        <is>
          <t>Média de service public, cherche équilibre, sujet patrimonial et économique.</t>
        </is>
      </c>
      <c r="G784" s="73" t="inlineStr">
        <is>
          <t>Oui</t>
        </is>
      </c>
      <c r="H784" s="72" t="inlineStr">
        <is>
          <t>Faute orthographique; manque de couverture sur sujet social important.</t>
        </is>
      </c>
      <c r="I784" s="73" t="n">
        <v>2</v>
      </c>
      <c r="J784" s="73" t="n">
        <v>4</v>
      </c>
      <c r="K784" s="74">
        <f>IFERROR(I784/J784,0)</f>
        <v/>
      </c>
      <c r="L784" s="73" t="n">
        <v>4</v>
      </c>
      <c r="M784" s="73" t="n">
        <v>1562</v>
      </c>
      <c r="N784" s="73" t="n">
        <v>22559</v>
      </c>
      <c r="O784" s="72" t="inlineStr">
        <is>
          <t>Video</t>
        </is>
      </c>
    </row>
    <row r="785" ht="13.5" customHeight="1" s="109">
      <c r="A785" s="35" t="inlineStr">
        <is>
          <t>https://www.instagram.com/p/DT5BdB8DT13/</t>
        </is>
      </c>
      <c r="B785" s="35" t="inlineStr">
        <is>
          <t>International</t>
        </is>
      </c>
      <c r="C785" s="35" t="inlineStr">
        <is>
          <t>Conflits</t>
        </is>
      </c>
      <c r="D785" s="36" t="n">
        <v>40</v>
      </c>
      <c r="E785" s="36" t="inlineStr">
        <is>
          <t>N</t>
        </is>
      </c>
      <c r="F785" s="35" t="inlineStr">
        <is>
          <t>RTS, service public, se focalise sur la véracité de l'info et les droits humains en Iran.</t>
        </is>
      </c>
      <c r="G785" s="36" t="inlineStr">
        <is>
          <t>Non</t>
        </is>
      </c>
      <c r="H785" s="35" t="n"/>
      <c r="I785" s="36" t="n">
        <v>0</v>
      </c>
      <c r="J785" s="36" t="n">
        <v>5</v>
      </c>
      <c r="K785" s="74">
        <f>IFERROR(I785/J785,0)</f>
        <v/>
      </c>
      <c r="L785" s="36" t="n">
        <v>67</v>
      </c>
      <c r="M785" s="36" t="n">
        <v>2206</v>
      </c>
      <c r="N785" s="36" t="n">
        <v>34192</v>
      </c>
      <c r="O785" s="35" t="inlineStr">
        <is>
          <t>Video</t>
        </is>
      </c>
    </row>
    <row r="786" ht="13.5" customHeight="1" s="109">
      <c r="A786" s="72" t="inlineStr">
        <is>
          <t>https://www.instagram.com/p/DT5WAF5iOul/</t>
        </is>
      </c>
      <c r="B786" s="72" t="inlineStr">
        <is>
          <t>Economie &amp; Travail</t>
        </is>
      </c>
      <c r="C786" s="72" t="inlineStr">
        <is>
          <t>Marche du travail</t>
        </is>
      </c>
      <c r="D786" s="73" t="n">
        <v>45</v>
      </c>
      <c r="E786" s="73" t="inlineStr">
        <is>
          <t>N</t>
        </is>
      </c>
      <c r="F786" s="72" t="inlineStr">
        <is>
          <t>RTS est un média de service public factuel et équilibré, centré sur l'information.</t>
        </is>
      </c>
      <c r="G786" s="73" t="inlineStr">
        <is>
          <t>Oui</t>
        </is>
      </c>
      <c r="H786" s="72" t="inlineStr">
        <is>
          <t>Correction factuelle sur la nouveauté du système mentionné.</t>
        </is>
      </c>
      <c r="I786" s="73" t="n">
        <v>1</v>
      </c>
      <c r="J786" s="73" t="n">
        <v>10</v>
      </c>
      <c r="K786" s="74">
        <f>IFERROR(I786/J786,0)</f>
        <v/>
      </c>
      <c r="L786" s="73" t="n">
        <v>88</v>
      </c>
      <c r="M786" s="73" t="n">
        <v>3860</v>
      </c>
      <c r="N786" s="73" t="n">
        <v>0</v>
      </c>
      <c r="O786" s="72" t="inlineStr">
        <is>
          <t>Image_Carrousel</t>
        </is>
      </c>
    </row>
    <row r="787" ht="13.5" customHeight="1" s="109">
      <c r="A787" s="35" t="inlineStr">
        <is>
          <t>https://www.instagram.com/p/DT4wRkJDKLK/</t>
        </is>
      </c>
      <c r="B787" s="35" t="inlineStr">
        <is>
          <t>Culture &amp; Loisirs</t>
        </is>
      </c>
      <c r="C787" s="35" t="inlineStr">
        <is>
          <t>Arts</t>
        </is>
      </c>
      <c r="D787" s="36" t="n">
        <v>45</v>
      </c>
      <c r="E787" s="36" t="inlineStr">
        <is>
          <t>N</t>
        </is>
      </c>
      <c r="F787" s="35" t="inlineStr">
        <is>
          <t>RTS est un média de service public suisse, généralement centriste/légèrement gauche.</t>
        </is>
      </c>
      <c r="G787" s="36" t="inlineStr">
        <is>
          <t>Non</t>
        </is>
      </c>
      <c r="H787" s="35" t="n"/>
      <c r="I787" s="36" t="n">
        <v>0</v>
      </c>
      <c r="J787" s="36" t="n">
        <v>8</v>
      </c>
      <c r="K787" s="74">
        <f>IFERROR(I787/J787,0)</f>
        <v/>
      </c>
      <c r="L787" s="36" t="n">
        <v>26</v>
      </c>
      <c r="M787" s="36" t="n">
        <v>3876</v>
      </c>
      <c r="N787" s="36" t="n">
        <v>0</v>
      </c>
      <c r="O787" s="35" t="inlineStr">
        <is>
          <t>Image_Carrousel</t>
        </is>
      </c>
    </row>
    <row r="788" ht="13.5" customHeight="1" s="109">
      <c r="A788" s="72" t="inlineStr">
        <is>
          <t>https://www.instagram.com/p/DT43GwugSVF/</t>
        </is>
      </c>
      <c r="B788" s="72" t="inlineStr">
        <is>
          <t>Sante</t>
        </is>
      </c>
      <c r="C788" s="72" t="inlineStr">
        <is>
          <t>Sante publique</t>
        </is>
      </c>
      <c r="D788" s="73" t="n">
        <v>50</v>
      </c>
      <c r="E788" s="73" t="inlineStr">
        <is>
          <t>N</t>
        </is>
      </c>
      <c r="F788" s="72" t="inlineStr">
        <is>
          <t>Article informatif et neutre sur une initiative d'accès aux soins.</t>
        </is>
      </c>
      <c r="G788" s="73" t="inlineStr">
        <is>
          <t>Non</t>
        </is>
      </c>
      <c r="H788" s="72" t="n"/>
      <c r="I788" s="73" t="n">
        <v>0</v>
      </c>
      <c r="J788" s="73" t="n">
        <v>8</v>
      </c>
      <c r="K788" s="74">
        <f>IFERROR(I788/J788,0)</f>
        <v/>
      </c>
      <c r="L788" s="73" t="n">
        <v>57</v>
      </c>
      <c r="M788" s="73" t="n">
        <v>5902</v>
      </c>
      <c r="N788" s="73" t="n">
        <v>0</v>
      </c>
      <c r="O788" s="72" t="inlineStr">
        <is>
          <t>Image_Carrousel</t>
        </is>
      </c>
    </row>
    <row r="789" ht="13.5" customHeight="1" s="109">
      <c r="A789" s="35" t="inlineStr">
        <is>
          <t>https://www.instagram.com/p/DT3DzaYiqUm/</t>
        </is>
      </c>
      <c r="B789" s="35" t="inlineStr">
        <is>
          <t>Securite &amp; Justice</t>
        </is>
      </c>
      <c r="C789" s="35" t="inlineStr">
        <is>
          <t>Justice</t>
        </is>
      </c>
      <c r="D789" s="36" t="n">
        <v>45</v>
      </c>
      <c r="E789" s="36" t="inlineStr">
        <is>
          <t>N</t>
        </is>
      </c>
      <c r="F789" s="35" t="inlineStr">
        <is>
          <t>RTS, média de service public, rapporte des faits judiciaires de manière neutre.</t>
        </is>
      </c>
      <c r="G789" s="36" t="inlineStr">
        <is>
          <t>Non</t>
        </is>
      </c>
      <c r="H789" s="35" t="n"/>
      <c r="I789" s="36" t="n">
        <v>0</v>
      </c>
      <c r="J789" s="36" t="n">
        <v>3</v>
      </c>
      <c r="K789" s="74">
        <f>IFERROR(I789/J789,0)</f>
        <v/>
      </c>
      <c r="L789" s="36" t="n">
        <v>337</v>
      </c>
      <c r="M789" s="36" t="n">
        <v>3341</v>
      </c>
      <c r="N789" s="36" t="n">
        <v>0</v>
      </c>
      <c r="O789" s="35" t="inlineStr">
        <is>
          <t>Image_Carrousel</t>
        </is>
      </c>
    </row>
    <row r="790" ht="13.5" customHeight="1" s="109">
      <c r="A790" s="72" t="inlineStr">
        <is>
          <t>https://www.instagram.com/p/DT290_4CpxS/</t>
        </is>
      </c>
      <c r="B790" s="72" t="inlineStr">
        <is>
          <t>Societe &amp; Droits</t>
        </is>
      </c>
      <c r="C790" s="72" t="inlineStr">
        <is>
          <t>Questions de Genre</t>
        </is>
      </c>
      <c r="D790" s="73" t="n">
        <v>50</v>
      </c>
      <c r="E790" s="73" t="inlineStr">
        <is>
          <t>N</t>
        </is>
      </c>
      <c r="F790" s="72" t="inlineStr">
        <is>
          <t>RTS, média public suisse, rapporte des faits issus d'une enquête d'un média tiers.</t>
        </is>
      </c>
      <c r="G790" s="73" t="inlineStr">
        <is>
          <t>Non</t>
        </is>
      </c>
      <c r="H790" s="72" t="n"/>
      <c r="I790" s="73" t="n">
        <v>0</v>
      </c>
      <c r="J790" s="73" t="n">
        <v>2</v>
      </c>
      <c r="K790" s="74">
        <f>IFERROR(I790/J790,0)</f>
        <v/>
      </c>
      <c r="L790" s="73" t="n">
        <v>66</v>
      </c>
      <c r="M790" s="73" t="n">
        <v>4464</v>
      </c>
      <c r="N790" s="73" t="n">
        <v>0</v>
      </c>
      <c r="O790" s="72" t="inlineStr">
        <is>
          <t>Image_Carrousel</t>
        </is>
      </c>
    </row>
    <row r="791" ht="13.5" customHeight="1" s="109">
      <c r="A791" s="35" t="inlineStr">
        <is>
          <t>https://www.instagram.com/p/DT4mzQPD_Qj/</t>
        </is>
      </c>
      <c r="B791" s="35" t="inlineStr">
        <is>
          <t>Securite &amp; Justice</t>
        </is>
      </c>
      <c r="C791" s="35" t="inlineStr">
        <is>
          <t>Ordre public</t>
        </is>
      </c>
      <c r="D791" s="36" t="n">
        <v>40</v>
      </c>
      <c r="E791" s="36" t="inlineStr">
        <is>
          <t>G</t>
        </is>
      </c>
      <c r="F791" s="35" t="inlineStr">
        <is>
          <t>Média public suisse, souvent perçu comme centriste-gauche, factuel et analytique.</t>
        </is>
      </c>
      <c r="G791" s="36" t="inlineStr">
        <is>
          <t>Oui</t>
        </is>
      </c>
      <c r="H791" s="35" t="inlineStr">
        <is>
          <t>Un commentaire nuance l'analyse des 'failles structurelles' du média.</t>
        </is>
      </c>
      <c r="I791" s="36" t="n">
        <v>1</v>
      </c>
      <c r="J791" s="36" t="n">
        <v>5</v>
      </c>
      <c r="K791" s="74">
        <f>IFERROR(I791/J791,0)</f>
        <v/>
      </c>
      <c r="L791" s="36" t="n">
        <v>60</v>
      </c>
      <c r="M791" s="36" t="n">
        <v>6633</v>
      </c>
      <c r="N791" s="36" t="n">
        <v>240222</v>
      </c>
      <c r="O791" s="35" t="inlineStr">
        <is>
          <t>Video</t>
        </is>
      </c>
    </row>
    <row r="792" ht="13.5" customHeight="1" s="109">
      <c r="A792" s="72" t="inlineStr">
        <is>
          <t>https://www.instagram.com/p/DT2jgOVEi0Z/</t>
        </is>
      </c>
      <c r="B792" s="72" t="inlineStr">
        <is>
          <t>Environnement &amp; Nature</t>
        </is>
      </c>
      <c r="C792" s="72" t="inlineStr">
        <is>
          <t>Energie</t>
        </is>
      </c>
      <c r="D792" s="73" t="n">
        <v>40</v>
      </c>
      <c r="E792" s="73" t="inlineStr">
        <is>
          <t>N</t>
        </is>
      </c>
      <c r="F792" s="72" t="inlineStr">
        <is>
          <t>RTS rapporte factuellement un progrès dans les énergies renouvelables et leurs implications.</t>
        </is>
      </c>
      <c r="G792" s="73" t="inlineStr">
        <is>
          <t>Oui</t>
        </is>
      </c>
      <c r="H792" s="72" t="inlineStr">
        <is>
          <t>Remise en question de la compétence et du contenu de l'article.</t>
        </is>
      </c>
      <c r="I792" s="73" t="n">
        <v>2</v>
      </c>
      <c r="J792" s="73" t="n">
        <v>5</v>
      </c>
      <c r="K792" s="74">
        <f>IFERROR(I792/J792,0)</f>
        <v/>
      </c>
      <c r="L792" s="73" t="n">
        <v>35</v>
      </c>
      <c r="M792" s="73" t="n">
        <v>1606</v>
      </c>
      <c r="N792" s="73" t="n">
        <v>0</v>
      </c>
      <c r="O792" s="72" t="inlineStr">
        <is>
          <t>Image_Carrousel</t>
        </is>
      </c>
    </row>
    <row r="793" ht="13.5" customHeight="1" s="109">
      <c r="A793" s="35" t="inlineStr">
        <is>
          <t>https://www.instagram.com/p/DT2pxrpinPp/</t>
        </is>
      </c>
      <c r="B793" s="35" t="inlineStr">
        <is>
          <t>Culture &amp; Loisirs</t>
        </is>
      </c>
      <c r="C793" s="35" t="inlineStr">
        <is>
          <t>Arts</t>
        </is>
      </c>
      <c r="D793" s="36" t="n">
        <v>50</v>
      </c>
      <c r="E793" s="36" t="inlineStr">
        <is>
          <t>N</t>
        </is>
      </c>
      <c r="F793" s="35" t="inlineStr">
        <is>
          <t>Média public factuel, informe sur une figure culturelle sans biais apparent.</t>
        </is>
      </c>
      <c r="G793" s="36" t="inlineStr">
        <is>
          <t>Non</t>
        </is>
      </c>
      <c r="H793" s="35" t="n"/>
      <c r="I793" s="36" t="n">
        <v>0</v>
      </c>
      <c r="J793" s="36" t="n">
        <v>7</v>
      </c>
      <c r="K793" s="74">
        <f>IFERROR(I793/J793,0)</f>
        <v/>
      </c>
      <c r="L793" s="36" t="n">
        <v>76</v>
      </c>
      <c r="M793" s="36" t="n">
        <v>2961</v>
      </c>
      <c r="N793" s="36" t="n">
        <v>0</v>
      </c>
      <c r="O793" s="35" t="inlineStr">
        <is>
          <t>Image_Carrousel</t>
        </is>
      </c>
    </row>
    <row r="794" ht="13.5" customHeight="1" s="109">
      <c r="A794" s="72" t="inlineStr">
        <is>
          <t>https://www.instagram.com/p/DT2qY9aD8-Y/</t>
        </is>
      </c>
      <c r="B794" s="72" t="inlineStr">
        <is>
          <t>Sante</t>
        </is>
      </c>
      <c r="C794" s="72" t="inlineStr">
        <is>
          <t>Sante publique</t>
        </is>
      </c>
      <c r="D794" s="73" t="n">
        <v>35</v>
      </c>
      <c r="E794" s="73" t="inlineStr">
        <is>
          <t>G</t>
        </is>
      </c>
      <c r="F794" s="72" t="inlineStr">
        <is>
          <t>Média public traitant un problème social urgent lié à la santé publique.</t>
        </is>
      </c>
      <c r="G794" s="73" t="inlineStr">
        <is>
          <t>Oui</t>
        </is>
      </c>
      <c r="H794" s="72" t="inlineStr">
        <is>
          <t>Reproche de ne pas lier la détresse soignante aux coupes budgétaires.</t>
        </is>
      </c>
      <c r="I794" s="73" t="n">
        <v>1</v>
      </c>
      <c r="J794" s="73" t="n">
        <v>8</v>
      </c>
      <c r="K794" s="74">
        <f>IFERROR(I794/J794,0)</f>
        <v/>
      </c>
      <c r="L794" s="73" t="n">
        <v>69</v>
      </c>
      <c r="M794" s="73" t="n">
        <v>7280</v>
      </c>
      <c r="N794" s="73" t="n">
        <v>0</v>
      </c>
      <c r="O794" s="72" t="inlineStr">
        <is>
          <t>Image_Carrousel</t>
        </is>
      </c>
    </row>
    <row r="795" ht="13.5" customHeight="1" s="109">
      <c r="A795" s="35" t="inlineStr">
        <is>
          <t>https://www.instagram.com/p/DT0FmRXD7rN/</t>
        </is>
      </c>
      <c r="B795" s="35" t="inlineStr">
        <is>
          <t>Societe &amp; Droits</t>
        </is>
      </c>
      <c r="C795" s="35" t="inlineStr">
        <is>
          <t>Faits de societe</t>
        </is>
      </c>
      <c r="D795" s="36" t="n">
        <v>50</v>
      </c>
      <c r="E795" s="36" t="inlineStr">
        <is>
          <t>N</t>
        </is>
      </c>
      <c r="F795" s="35" t="inlineStr">
        <is>
          <t>Média de service public, vise la neutralité et l'information générale.</t>
        </is>
      </c>
      <c r="G795" s="36" t="inlineStr">
        <is>
          <t>Oui</t>
        </is>
      </c>
      <c r="H795" s="35" t="inlineStr">
        <is>
          <t>Choix éditorial du sujet/expert jugé superficiel par les commentateurs.</t>
        </is>
      </c>
      <c r="I795" s="36" t="n">
        <v>2</v>
      </c>
      <c r="J795" s="36" t="n">
        <v>7</v>
      </c>
      <c r="K795" s="74">
        <f>IFERROR(I795/J795,0)</f>
        <v/>
      </c>
      <c r="L795" s="36" t="n">
        <v>103</v>
      </c>
      <c r="M795" s="36" t="n">
        <v>8419</v>
      </c>
      <c r="N795" s="36" t="n">
        <v>162324</v>
      </c>
      <c r="O795" s="35" t="inlineStr">
        <is>
          <t>Video</t>
        </is>
      </c>
    </row>
    <row r="796" ht="13.5" customHeight="1" s="109">
      <c r="A796" s="72" t="inlineStr">
        <is>
          <t>https://www.instagram.com/p/DTz-rl9DCxI/</t>
        </is>
      </c>
      <c r="B796" s="72" t="inlineStr">
        <is>
          <t>Environnement &amp; Nature</t>
        </is>
      </c>
      <c r="C796" s="72" t="inlineStr">
        <is>
          <t>Climat / Ecologie</t>
        </is>
      </c>
      <c r="D796" s="73" t="n">
        <v>40</v>
      </c>
      <c r="E796" s="73" t="inlineStr">
        <is>
          <t>N</t>
        </is>
      </c>
      <c r="F796" s="72" t="inlineStr">
        <is>
          <t>Média public Suisse, tend légèrement progressiste sur sujets sociétaux et environnementaux.</t>
        </is>
      </c>
      <c r="G796" s="73" t="inlineStr">
        <is>
          <t>Non</t>
        </is>
      </c>
      <c r="H796" s="72" t="n"/>
      <c r="I796" s="73" t="n">
        <v>0</v>
      </c>
      <c r="J796" s="73" t="n">
        <v>7</v>
      </c>
      <c r="K796" s="74">
        <f>IFERROR(I796/J796,0)</f>
        <v/>
      </c>
      <c r="L796" s="73" t="n">
        <v>46</v>
      </c>
      <c r="M796" s="73" t="n">
        <v>19224</v>
      </c>
      <c r="N796" s="73" t="n">
        <v>0</v>
      </c>
      <c r="O796" s="72" t="inlineStr">
        <is>
          <t>Image_Carrousel</t>
        </is>
      </c>
    </row>
    <row r="797" ht="13.5" customHeight="1" s="109">
      <c r="A797" s="35" t="inlineStr">
        <is>
          <t>https://www.instagram.com/p/DT16RP8jNhQ/</t>
        </is>
      </c>
      <c r="B797" s="35" t="inlineStr">
        <is>
          <t>Economie &amp; Travail</t>
        </is>
      </c>
      <c r="C797" s="35" t="inlineStr">
        <is>
          <t>Consommation</t>
        </is>
      </c>
      <c r="D797" s="36" t="n">
        <v>45</v>
      </c>
      <c r="E797" s="36" t="inlineStr">
        <is>
          <t>N</t>
        </is>
      </c>
      <c r="F797" s="35" t="inlineStr">
        <is>
          <t>RTS est un média de service public, généralement neutre et factuel dans son traitement.</t>
        </is>
      </c>
      <c r="G797" s="36" t="inlineStr">
        <is>
          <t>Oui</t>
        </is>
      </c>
      <c r="H797" s="35" t="inlineStr">
        <is>
          <t>Un commentaire reproche au média de couvrir un sujet trivial face à des problèmes graves.</t>
        </is>
      </c>
      <c r="I797" s="36" t="n">
        <v>1</v>
      </c>
      <c r="J797" s="36" t="n">
        <v>6</v>
      </c>
      <c r="K797" s="74">
        <f>IFERROR(I797/J797,0)</f>
        <v/>
      </c>
      <c r="L797" s="36" t="n">
        <v>137</v>
      </c>
      <c r="M797" s="36" t="n">
        <v>8409</v>
      </c>
      <c r="N797" s="36" t="n">
        <v>0</v>
      </c>
      <c r="O797" s="35" t="inlineStr">
        <is>
          <t>Image_Carrousel</t>
        </is>
      </c>
    </row>
    <row r="798" ht="13.5" customHeight="1" s="109">
      <c r="A798" s="72" t="inlineStr">
        <is>
          <t>https://www.instagram.com/p/DT0oAnPEZ92/</t>
        </is>
      </c>
      <c r="B798" s="72" t="inlineStr">
        <is>
          <t>Politique &amp; Institutions</t>
        </is>
      </c>
      <c r="C798" s="72" t="inlineStr">
        <is>
          <t>Vie politique CH</t>
        </is>
      </c>
      <c r="D798" s="73" t="n">
        <v>35</v>
      </c>
      <c r="E798" s="73" t="inlineStr">
        <is>
          <t>G</t>
        </is>
      </c>
      <c r="F798" s="72" t="inlineStr">
        <is>
          <t>RTS rapporte faits, critiques PS, questionne pertinence achat F-35.</t>
        </is>
      </c>
      <c r="G798" s="73" t="inlineStr">
        <is>
          <t>Non</t>
        </is>
      </c>
      <c r="H798" s="72" t="n"/>
      <c r="I798" s="73" t="n">
        <v>0</v>
      </c>
      <c r="J798" s="73" t="n">
        <v>7</v>
      </c>
      <c r="K798" s="74">
        <f>IFERROR(I798/J798,0)</f>
        <v/>
      </c>
      <c r="L798" s="73" t="n">
        <v>136</v>
      </c>
      <c r="M798" s="73" t="n">
        <v>1603</v>
      </c>
      <c r="N798" s="73" t="n">
        <v>27391</v>
      </c>
      <c r="O798" s="72" t="inlineStr">
        <is>
          <t>Video</t>
        </is>
      </c>
    </row>
    <row r="799" ht="13.5" customHeight="1" s="109">
      <c r="A799" s="35" t="inlineStr">
        <is>
          <t>https://www.instagram.com/p/DT3b4gIllXx/</t>
        </is>
      </c>
      <c r="B799" s="35" t="inlineStr">
        <is>
          <t>Securite &amp; Justice</t>
        </is>
      </c>
      <c r="C799" s="35" t="inlineStr">
        <is>
          <t>Justice</t>
        </is>
      </c>
      <c r="D799" s="36" t="n">
        <v>50</v>
      </c>
      <c r="E799" s="36" t="inlineStr">
        <is>
          <t>N</t>
        </is>
      </c>
      <c r="F799" s="35" t="inlineStr">
        <is>
          <t>Média public suisse, rapporte les faits judiciaires sans prise de position éditoriale.</t>
        </is>
      </c>
      <c r="G799" s="36" t="inlineStr">
        <is>
          <t>Non</t>
        </is>
      </c>
      <c r="H799" s="35" t="inlineStr">
        <is>
          <t>Aucune critique directe du média dans les commentaires.</t>
        </is>
      </c>
      <c r="I799" s="36" t="n">
        <v>0</v>
      </c>
      <c r="J799" s="36" t="n">
        <v>5</v>
      </c>
      <c r="K799" s="74">
        <f>IFERROR(I799/J799,0)</f>
        <v/>
      </c>
      <c r="L799" s="36" t="n">
        <v>85</v>
      </c>
      <c r="M799" s="36" t="n">
        <v>9379</v>
      </c>
      <c r="N799" s="36" t="n">
        <v>0</v>
      </c>
      <c r="O799" s="35" t="inlineStr">
        <is>
          <t>Image_Carrousel</t>
        </is>
      </c>
    </row>
    <row r="800" ht="13.5" customHeight="1" s="109">
      <c r="A800" s="72" t="inlineStr">
        <is>
          <t>https://www.instagram.com/p/DT1zkdCFfhC/</t>
        </is>
      </c>
      <c r="B800" s="72" t="inlineStr">
        <is>
          <t>Securite &amp; Justice</t>
        </is>
      </c>
      <c r="C800" s="72" t="inlineStr">
        <is>
          <t>Activites de Police</t>
        </is>
      </c>
      <c r="D800" s="73" t="n">
        <v>45</v>
      </c>
      <c r="E800" s="73" t="inlineStr">
        <is>
          <t>N</t>
        </is>
      </c>
      <c r="F800" s="72" t="inlineStr">
        <is>
          <t>RTS, service public, reportage descriptif d'une adaptation institutionnelle, ton neutre.</t>
        </is>
      </c>
      <c r="G800" s="73" t="inlineStr">
        <is>
          <t>Non</t>
        </is>
      </c>
      <c r="H800" s="72" t="n"/>
      <c r="I800" s="73" t="n">
        <v>0</v>
      </c>
      <c r="J800" s="73" t="n">
        <v>8</v>
      </c>
      <c r="K800" s="74">
        <f>IFERROR(I800/J800,0)</f>
        <v/>
      </c>
      <c r="L800" s="73" t="n">
        <v>191</v>
      </c>
      <c r="M800" s="73" t="n">
        <v>14759</v>
      </c>
      <c r="N800" s="73" t="n">
        <v>338402</v>
      </c>
      <c r="O800" s="72" t="inlineStr">
        <is>
          <t>Video</t>
        </is>
      </c>
    </row>
    <row r="801" ht="13.5" customHeight="1" s="109">
      <c r="A801" s="35" t="inlineStr">
        <is>
          <t>https://www.instagram.com/p/DT0EKx6EZhR/</t>
        </is>
      </c>
      <c r="B801" s="35" t="inlineStr">
        <is>
          <t>Securite &amp; Justice</t>
        </is>
      </c>
      <c r="C801" s="35" t="inlineStr">
        <is>
          <t>Ordre public</t>
        </is>
      </c>
      <c r="D801" s="36" t="n">
        <v>50</v>
      </c>
      <c r="E801" s="36" t="inlineStr">
        <is>
          <t>N</t>
        </is>
      </c>
      <c r="F801" s="35" t="inlineStr">
        <is>
          <t>RTS/ATS, rapport factuel d'accident et contexte de sécurité ferroviaire.</t>
        </is>
      </c>
      <c r="G801" s="36" t="inlineStr">
        <is>
          <t>Non</t>
        </is>
      </c>
      <c r="H801" s="35" t="n"/>
      <c r="I801" s="36" t="n">
        <v>0</v>
      </c>
      <c r="J801" s="36" t="n">
        <v>6</v>
      </c>
      <c r="K801" s="74">
        <f>IFERROR(I801/J801,0)</f>
        <v/>
      </c>
      <c r="L801" s="36" t="n">
        <v>113</v>
      </c>
      <c r="M801" s="36" t="n">
        <v>6197</v>
      </c>
      <c r="N801" s="36" t="n">
        <v>0</v>
      </c>
      <c r="O801" s="35" t="inlineStr">
        <is>
          <t>Image_Carrousel</t>
        </is>
      </c>
    </row>
    <row r="802" ht="13.5" customHeight="1" s="109">
      <c r="A802" s="72" t="inlineStr">
        <is>
          <t>https://www.instagram.com/p/DT0uxCyj41U/</t>
        </is>
      </c>
      <c r="B802" s="72" t="inlineStr">
        <is>
          <t>Societe &amp; Droits</t>
        </is>
      </c>
      <c r="C802" s="72" t="inlineStr">
        <is>
          <t>Faits de societe</t>
        </is>
      </c>
      <c r="D802" s="73" t="n">
        <v>45</v>
      </c>
      <c r="E802" s="73" t="inlineStr">
        <is>
          <t>N</t>
        </is>
      </c>
      <c r="F802" s="72" t="inlineStr">
        <is>
          <t>RTS, service public, rapporte des faits sociaux suisses sans prise de position éditoriale marquée.</t>
        </is>
      </c>
      <c r="G802" s="73" t="inlineStr">
        <is>
          <t>Oui</t>
        </is>
      </c>
      <c r="H802" s="72" t="inlineStr">
        <is>
          <t>Questionne la pertinence des chiffres ou la complétude du reportage médiatique.</t>
        </is>
      </c>
      <c r="I802" s="73" t="n">
        <v>2</v>
      </c>
      <c r="J802" s="73" t="n">
        <v>6</v>
      </c>
      <c r="K802" s="74">
        <f>IFERROR(I802/J802,0)</f>
        <v/>
      </c>
      <c r="L802" s="73" t="n">
        <v>32</v>
      </c>
      <c r="M802" s="73" t="n">
        <v>3661</v>
      </c>
      <c r="N802" s="73" t="n">
        <v>0</v>
      </c>
      <c r="O802" s="72" t="inlineStr">
        <is>
          <t>Image_Carrousel</t>
        </is>
      </c>
    </row>
    <row r="803" ht="13.5" customHeight="1" s="109">
      <c r="A803" s="35" t="inlineStr">
        <is>
          <t>https://www.instagram.com/p/DTz4FQ7D3wk/</t>
        </is>
      </c>
      <c r="B803" s="35" t="inlineStr">
        <is>
          <t>Politique &amp; Institutions</t>
        </is>
      </c>
      <c r="C803" s="35" t="inlineStr">
        <is>
          <t>Autorites</t>
        </is>
      </c>
      <c r="D803" s="36" t="n">
        <v>45</v>
      </c>
      <c r="E803" s="36" t="inlineStr">
        <is>
          <t>N</t>
        </is>
      </c>
      <c r="F803" s="35" t="inlineStr">
        <is>
          <t>Média public suisse, vise neutralité, légèrement perçu à gauche du centre.</t>
        </is>
      </c>
      <c r="G803" s="36" t="inlineStr">
        <is>
          <t>Non</t>
        </is>
      </c>
      <c r="H803" s="35" t="n"/>
      <c r="I803" s="36" t="n">
        <v>0</v>
      </c>
      <c r="J803" s="36" t="n">
        <v>1</v>
      </c>
      <c r="K803" s="74">
        <f>IFERROR(I803/J803,0)</f>
        <v/>
      </c>
      <c r="L803" s="36" t="n">
        <v>1</v>
      </c>
      <c r="M803" s="36" t="n">
        <v>2358</v>
      </c>
      <c r="N803" s="36" t="n">
        <v>0</v>
      </c>
      <c r="O803" s="35" t="inlineStr">
        <is>
          <t>Image_Carrousel</t>
        </is>
      </c>
    </row>
    <row r="804" ht="13.5" customHeight="1" s="109">
      <c r="A804" s="72" t="inlineStr">
        <is>
          <t>https://www.instagram.com/p/DT0aJuojYXj/</t>
        </is>
      </c>
      <c r="B804" s="72" t="inlineStr">
        <is>
          <t>Sante</t>
        </is>
      </c>
      <c r="C804" s="72" t="inlineStr">
        <is>
          <t>Sante publique</t>
        </is>
      </c>
      <c r="D804" s="73" t="n">
        <v>35</v>
      </c>
      <c r="E804" s="73" t="inlineStr">
        <is>
          <t>G</t>
        </is>
      </c>
      <c r="F804" s="72" t="inlineStr">
        <is>
          <t>RTS expose un problème social et plaide pour le droit individuel face aux assureurs.</t>
        </is>
      </c>
      <c r="G804" s="73" t="inlineStr">
        <is>
          <t>Non</t>
        </is>
      </c>
      <c r="H804" s="72" t="inlineStr">
        <is>
          <t>Aucune critique du media par les commentaires.</t>
        </is>
      </c>
      <c r="I804" s="73" t="n">
        <v>0</v>
      </c>
      <c r="J804" s="73" t="n">
        <v>5</v>
      </c>
      <c r="K804" s="74">
        <f>IFERROR(I804/J804,0)</f>
        <v/>
      </c>
      <c r="L804" s="73" t="n">
        <v>89</v>
      </c>
      <c r="M804" s="73" t="n">
        <v>4845</v>
      </c>
      <c r="N804" s="73" t="n">
        <v>0</v>
      </c>
      <c r="O804" s="72" t="inlineStr">
        <is>
          <t>Image_Carrousel</t>
        </is>
      </c>
    </row>
    <row r="805" ht="13.5" customHeight="1" s="109">
      <c r="A805" s="35" t="inlineStr">
        <is>
          <t>https://www.instagram.com/p/DT0h5swDPFo/</t>
        </is>
      </c>
      <c r="B805" s="35" t="inlineStr">
        <is>
          <t>Culture &amp; Loisirs</t>
        </is>
      </c>
      <c r="C805" s="35" t="inlineStr">
        <is>
          <t>Medias</t>
        </is>
      </c>
      <c r="D805" s="36" t="n">
        <v>50</v>
      </c>
      <c r="E805" s="36" t="inlineStr">
        <is>
          <t>N</t>
        </is>
      </c>
      <c r="F805" s="35" t="inlineStr">
        <is>
          <t>RTS est un diffuseur de service public suisse, généralement neutre et centriste.</t>
        </is>
      </c>
      <c r="G805" s="36" t="inlineStr">
        <is>
          <t>Oui</t>
        </is>
      </c>
      <c r="H805" s="35" t="inlineStr">
        <is>
          <t>Diffusion tardive du contenu par la plateforme Instagram.</t>
        </is>
      </c>
      <c r="I805" s="36" t="n">
        <v>1</v>
      </c>
      <c r="J805" s="36" t="n">
        <v>7</v>
      </c>
      <c r="K805" s="74">
        <f>IFERROR(I805/J805,0)</f>
        <v/>
      </c>
      <c r="L805" s="36" t="n">
        <v>38</v>
      </c>
      <c r="M805" s="36" t="n">
        <v>3960</v>
      </c>
      <c r="N805" s="36" t="n">
        <v>0</v>
      </c>
      <c r="O805" s="35" t="inlineStr">
        <is>
          <t>Image_Carrousel</t>
        </is>
      </c>
    </row>
    <row r="806" ht="13.5" customHeight="1" s="109">
      <c r="A806" s="72" t="inlineStr">
        <is>
          <t>https://www.instagram.com/p/DTzVfoCD00E/</t>
        </is>
      </c>
      <c r="B806" s="72" t="inlineStr">
        <is>
          <t>Environnement &amp; Nature</t>
        </is>
      </c>
      <c r="C806" s="72" t="inlineStr">
        <is>
          <t>Climat / Ecologie</t>
        </is>
      </c>
      <c r="D806" s="73" t="n">
        <v>50</v>
      </c>
      <c r="E806" s="73" t="inlineStr">
        <is>
          <t>N</t>
        </is>
      </c>
      <c r="F806" s="72" t="inlineStr">
        <is>
          <t>Média public, sujet neutre de valorisation du patrimoine naturel et historique suisse.</t>
        </is>
      </c>
      <c r="G806" s="73" t="inlineStr">
        <is>
          <t>Non</t>
        </is>
      </c>
      <c r="H806" s="72" t="n"/>
      <c r="I806" s="73" t="n">
        <v>0</v>
      </c>
      <c r="J806" s="73" t="n">
        <v>3</v>
      </c>
      <c r="K806" s="74">
        <f>IFERROR(I806/J806,0)</f>
        <v/>
      </c>
      <c r="L806" s="73" t="n">
        <v>3</v>
      </c>
      <c r="M806" s="73" t="n">
        <v>3738</v>
      </c>
      <c r="N806" s="73" t="n">
        <v>54217</v>
      </c>
      <c r="O806" s="72" t="inlineStr">
        <is>
          <t>Video</t>
        </is>
      </c>
    </row>
    <row r="807" ht="13.5" customHeight="1" s="109">
      <c r="A807" s="35" t="inlineStr">
        <is>
          <t>https://www.instagram.com/p/DTzcZhljQUo/</t>
        </is>
      </c>
      <c r="B807" s="35" t="inlineStr">
        <is>
          <t>Culture &amp; Loisirs</t>
        </is>
      </c>
      <c r="C807" s="35" t="inlineStr">
        <is>
          <t>Medias</t>
        </is>
      </c>
      <c r="D807" s="36" t="n">
        <v>40</v>
      </c>
      <c r="E807" s="36" t="inlineStr">
        <is>
          <t>N</t>
        </is>
      </c>
      <c r="F807" s="35" t="inlineStr">
        <is>
          <t>Média public, analyse tendance sociale avec un regard critique sur le passé.</t>
        </is>
      </c>
      <c r="G807" s="36" t="inlineStr">
        <is>
          <t>Oui</t>
        </is>
      </c>
      <c r="H807" s="35" t="inlineStr">
        <is>
          <t>Pertinence du sujet, coût du média public et recours à des experts.</t>
        </is>
      </c>
      <c r="I807" s="36" t="n">
        <v>2</v>
      </c>
      <c r="J807" s="36" t="n">
        <v>8</v>
      </c>
      <c r="K807" s="74">
        <f>IFERROR(I807/J807,0)</f>
        <v/>
      </c>
      <c r="L807" s="36" t="n">
        <v>23</v>
      </c>
      <c r="M807" s="36" t="n">
        <v>2193</v>
      </c>
      <c r="N807" s="36" t="n">
        <v>65694</v>
      </c>
      <c r="O807" s="35" t="inlineStr">
        <is>
          <t>Video</t>
        </is>
      </c>
    </row>
    <row r="808" ht="13.5" customHeight="1" s="109">
      <c r="A808" s="72" t="inlineStr">
        <is>
          <t>https://www.instagram.com/p/DTyTdFvFin3/</t>
        </is>
      </c>
      <c r="B808" s="72" t="inlineStr">
        <is>
          <t>International</t>
        </is>
      </c>
      <c r="C808" s="72" t="inlineStr">
        <is>
          <t>Geopolitique</t>
        </is>
      </c>
      <c r="D808" s="73" t="n">
        <v>50</v>
      </c>
      <c r="E808" s="73" t="inlineStr">
        <is>
          <t>N</t>
        </is>
      </c>
      <c r="F808" s="72" t="inlineStr">
        <is>
          <t>Rapportage factuel des déclarations de Trump et de leurs impacts économiques.</t>
        </is>
      </c>
      <c r="G808" s="73" t="inlineStr">
        <is>
          <t>Oui</t>
        </is>
      </c>
      <c r="H808" s="72" t="inlineStr">
        <is>
          <t>Accusation de biais médiatique en faveur des États-Unis sur l'histoire.</t>
        </is>
      </c>
      <c r="I808" s="73" t="n">
        <v>1</v>
      </c>
      <c r="J808" s="73" t="n">
        <v>8</v>
      </c>
      <c r="K808" s="74">
        <f>IFERROR(I808/J808,0)</f>
        <v/>
      </c>
      <c r="L808" s="73" t="n">
        <v>42</v>
      </c>
      <c r="M808" s="73" t="n">
        <v>2132</v>
      </c>
      <c r="N808" s="73" t="n">
        <v>0</v>
      </c>
      <c r="O808" s="72" t="inlineStr">
        <is>
          <t>Image_Carrousel</t>
        </is>
      </c>
    </row>
    <row r="809" ht="13.5" customHeight="1" s="109">
      <c r="A809" s="35" t="inlineStr">
        <is>
          <t>https://www.instagram.com/p/DT16X1yilbX/</t>
        </is>
      </c>
      <c r="B809" s="35" t="inlineStr">
        <is>
          <t>Societe &amp; Droits</t>
        </is>
      </c>
      <c r="C809" s="35" t="inlineStr">
        <is>
          <t>Faits de societe</t>
        </is>
      </c>
      <c r="D809" s="36" t="n">
        <v>40</v>
      </c>
      <c r="E809" s="36" t="inlineStr">
        <is>
          <t>N</t>
        </is>
      </c>
      <c r="F809" s="35" t="inlineStr">
        <is>
          <t>RTS public, met en lumière la solidarité et l'entraide sociale.</t>
        </is>
      </c>
      <c r="G809" s="36" t="inlineStr">
        <is>
          <t>Oui</t>
        </is>
      </c>
      <c r="H809" s="35" t="inlineStr">
        <is>
          <t>Un commentaire questionne la gratuité des perruques pour les victimes.</t>
        </is>
      </c>
      <c r="I809" s="36" t="n">
        <v>1</v>
      </c>
      <c r="J809" s="36" t="n">
        <v>2</v>
      </c>
      <c r="K809" s="74">
        <f>IFERROR(I809/J809,0)</f>
        <v/>
      </c>
      <c r="L809" s="36" t="n">
        <v>112</v>
      </c>
      <c r="M809" s="36" t="n">
        <v>16765</v>
      </c>
      <c r="N809" s="36" t="n">
        <v>167254</v>
      </c>
      <c r="O809" s="35" t="inlineStr">
        <is>
          <t>Video</t>
        </is>
      </c>
    </row>
    <row r="810" ht="13.5" customHeight="1" s="109">
      <c r="A810" s="72" t="inlineStr">
        <is>
          <t>https://www.instagram.com/p/DTyB_4oj5Ks/</t>
        </is>
      </c>
      <c r="B810" s="72" t="inlineStr">
        <is>
          <t>International</t>
        </is>
      </c>
      <c r="C810" s="72" t="inlineStr">
        <is>
          <t>Geopolitique</t>
        </is>
      </c>
      <c r="D810" s="73" t="n">
        <v>40</v>
      </c>
      <c r="E810" s="73" t="inlineStr">
        <is>
          <t>N</t>
        </is>
      </c>
      <c r="F810" s="72" t="inlineStr">
        <is>
          <t>Média public suisse, réputé neutre avec une légère tendance centre-gauche.</t>
        </is>
      </c>
      <c r="G810" s="73" t="inlineStr">
        <is>
          <t>Oui</t>
        </is>
      </c>
      <c r="H810" s="72" t="inlineStr">
        <is>
          <t>Manque de couverture sur des sujets spécifiques (Epstein files).</t>
        </is>
      </c>
      <c r="I810" s="73" t="n">
        <v>1</v>
      </c>
      <c r="J810" s="73" t="n">
        <v>8</v>
      </c>
      <c r="K810" s="74">
        <f>IFERROR(I810/J810,0)</f>
        <v/>
      </c>
      <c r="L810" s="73" t="n">
        <v>216</v>
      </c>
      <c r="M810" s="73" t="n">
        <v>2455</v>
      </c>
      <c r="N810" s="73" t="n">
        <v>69224</v>
      </c>
      <c r="O810" s="72" t="inlineStr">
        <is>
          <t>Video</t>
        </is>
      </c>
    </row>
    <row r="811" ht="13.5" customHeight="1" s="109">
      <c r="A811" s="35" t="inlineStr">
        <is>
          <t>https://www.instagram.com/p/DT0DAbGCvtD/</t>
        </is>
      </c>
      <c r="B811" s="35" t="inlineStr">
        <is>
          <t>Securite &amp; Justice</t>
        </is>
      </c>
      <c r="C811" s="35" t="inlineStr">
        <is>
          <t>Activites de Police</t>
        </is>
      </c>
      <c r="D811" s="36" t="n">
        <v>50</v>
      </c>
      <c r="E811" s="36" t="inlineStr">
        <is>
          <t>N</t>
        </is>
      </c>
      <c r="F811" s="35" t="inlineStr">
        <is>
          <t>Reportage factuel sur un incident de sécurité publique et l'intervention policière.</t>
        </is>
      </c>
      <c r="G811" s="36" t="inlineStr">
        <is>
          <t>Non</t>
        </is>
      </c>
      <c r="H811" s="35" t="n"/>
      <c r="I811" s="36" t="n">
        <v>0</v>
      </c>
      <c r="J811" s="36" t="n">
        <v>5</v>
      </c>
      <c r="K811" s="74">
        <f>IFERROR(I811/J811,0)</f>
        <v/>
      </c>
      <c r="L811" s="36" t="n">
        <v>99</v>
      </c>
      <c r="M811" s="36" t="n">
        <v>6574</v>
      </c>
      <c r="N811" s="36" t="n">
        <v>0</v>
      </c>
      <c r="O811" s="35" t="inlineStr">
        <is>
          <t>Image_Carrousel</t>
        </is>
      </c>
    </row>
    <row r="812" ht="13.5" customHeight="1" s="109">
      <c r="A812" s="72" t="inlineStr">
        <is>
          <t>https://www.instagram.com/p/DTz31ekjRzH/</t>
        </is>
      </c>
      <c r="B812" s="72" t="inlineStr">
        <is>
          <t>Economie &amp; Travail</t>
        </is>
      </c>
      <c r="C812" s="72" t="inlineStr">
        <is>
          <t>Consommation</t>
        </is>
      </c>
      <c r="D812" s="73" t="n">
        <v>50</v>
      </c>
      <c r="E812" s="73" t="inlineStr">
        <is>
          <t>N</t>
        </is>
      </c>
      <c r="F812" s="72" t="inlineStr">
        <is>
          <t>RTS (média public) et AFP (agence de presse) visent la neutralité.</t>
        </is>
      </c>
      <c r="G812" s="73" t="inlineStr">
        <is>
          <t>Oui</t>
        </is>
      </c>
      <c r="H812" s="72" t="inlineStr">
        <is>
          <t>Le media (et autres) sont inefficaces à sensibiliser sur le climat.</t>
        </is>
      </c>
      <c r="I812" s="73" t="n">
        <v>1</v>
      </c>
      <c r="J812" s="73" t="n">
        <v>4</v>
      </c>
      <c r="K812" s="74">
        <f>IFERROR(I812/J812,0)</f>
        <v/>
      </c>
      <c r="L812" s="73" t="n">
        <v>9</v>
      </c>
      <c r="M812" s="73" t="n">
        <v>1502</v>
      </c>
      <c r="N812" s="73" t="n">
        <v>0</v>
      </c>
      <c r="O812" s="72" t="inlineStr">
        <is>
          <t>Image_Carrousel</t>
        </is>
      </c>
    </row>
    <row r="813" ht="13.5" customHeight="1" s="109">
      <c r="A813" s="35" t="inlineStr">
        <is>
          <t>https://www.instagram.com/p/DTx2R5_Cp66/</t>
        </is>
      </c>
      <c r="B813" s="35" t="inlineStr">
        <is>
          <t>International</t>
        </is>
      </c>
      <c r="C813" s="35" t="inlineStr">
        <is>
          <t>Geopolitique</t>
        </is>
      </c>
      <c r="D813" s="36" t="n">
        <v>50</v>
      </c>
      <c r="E813" s="36" t="inlineStr">
        <is>
          <t>N</t>
        </is>
      </c>
      <c r="F813" s="35" t="inlineStr">
        <is>
          <t>RTS Info est un média de service public, cherchant la neutralité et l'équilibre factuel.</t>
        </is>
      </c>
      <c r="G813" s="36" t="inlineStr">
        <is>
          <t>Non</t>
        </is>
      </c>
      <c r="H813" s="35" t="n"/>
      <c r="I813" s="36" t="n">
        <v>0</v>
      </c>
      <c r="J813" s="36" t="n">
        <v>8</v>
      </c>
      <c r="K813" s="74">
        <f>IFERROR(I813/J813,0)</f>
        <v/>
      </c>
      <c r="L813" s="36" t="n">
        <v>685</v>
      </c>
      <c r="M813" s="36" t="n">
        <v>7705</v>
      </c>
      <c r="N813" s="36" t="n">
        <v>256354</v>
      </c>
      <c r="O813" s="35" t="inlineStr">
        <is>
          <t>Video</t>
        </is>
      </c>
    </row>
    <row r="814" ht="13.5" customHeight="1" s="109">
      <c r="A814" s="72" t="inlineStr">
        <is>
          <t>https://www.instagram.com/p/DTxgx5tAv9h/</t>
        </is>
      </c>
      <c r="B814" s="72" t="inlineStr">
        <is>
          <t>Culture &amp; Loisirs</t>
        </is>
      </c>
      <c r="C814" s="72" t="inlineStr">
        <is>
          <t>Arts</t>
        </is>
      </c>
      <c r="D814" s="73" t="n">
        <v>45</v>
      </c>
      <c r="E814" s="73" t="inlineStr">
        <is>
          <t>N</t>
        </is>
      </c>
      <c r="F814" s="72" t="inlineStr">
        <is>
          <t>RTS est un média public suisse, réputé pour sa neutralité et son approche factuelle.</t>
        </is>
      </c>
      <c r="G814" s="73" t="inlineStr">
        <is>
          <t>Oui</t>
        </is>
      </c>
      <c r="H814" s="72" t="inlineStr">
        <is>
          <t>Un commentaire craint l'impact de l'IA sur le travail de journaliste.</t>
        </is>
      </c>
      <c r="I814" s="73" t="n">
        <v>1</v>
      </c>
      <c r="J814" s="73" t="n">
        <v>8</v>
      </c>
      <c r="K814" s="74">
        <f>IFERROR(I814/J814,0)</f>
        <v/>
      </c>
      <c r="L814" s="73" t="n">
        <v>12</v>
      </c>
      <c r="M814" s="73" t="n">
        <v>1689</v>
      </c>
      <c r="N814" s="73" t="n">
        <v>0</v>
      </c>
      <c r="O814" s="72" t="inlineStr">
        <is>
          <t>Image_Carrousel</t>
        </is>
      </c>
    </row>
    <row r="815" ht="13.5" customHeight="1" s="109">
      <c r="A815" s="35" t="inlineStr">
        <is>
          <t>https://www.instagram.com/p/DTyDMomjVSW/</t>
        </is>
      </c>
      <c r="B815" s="35" t="inlineStr">
        <is>
          <t>International</t>
        </is>
      </c>
      <c r="C815" s="35" t="inlineStr">
        <is>
          <t>Conflits</t>
        </is>
      </c>
      <c r="D815" s="36" t="n">
        <v>50</v>
      </c>
      <c r="E815" s="36" t="inlineStr">
        <is>
          <t>N</t>
        </is>
      </c>
      <c r="F815" s="35" t="inlineStr">
        <is>
          <t>RTS rapporte factuellement les actions étatiques et la réaffirmation du contrôle. Pas de biais clair.</t>
        </is>
      </c>
      <c r="G815" s="36" t="inlineStr">
        <is>
          <t>Oui</t>
        </is>
      </c>
      <c r="H815" s="35" t="inlineStr">
        <is>
          <t>Questionnement sur la composition de l'armée syrienne par le média.</t>
        </is>
      </c>
      <c r="I815" s="36" t="n">
        <v>1</v>
      </c>
      <c r="J815" s="36" t="n">
        <v>5</v>
      </c>
      <c r="K815" s="74">
        <f>IFERROR(I815/J815,0)</f>
        <v/>
      </c>
      <c r="L815" s="36" t="n">
        <v>143</v>
      </c>
      <c r="M815" s="36" t="n">
        <v>1847</v>
      </c>
      <c r="N815" s="36" t="n">
        <v>38321</v>
      </c>
      <c r="O815" s="35" t="inlineStr">
        <is>
          <t>Video</t>
        </is>
      </c>
    </row>
    <row r="816" ht="13.5" customHeight="1" s="109">
      <c r="A816" s="72" t="inlineStr">
        <is>
          <t>https://www.instagram.com/p/DTvXOQ0jI_l/</t>
        </is>
      </c>
      <c r="B816" s="72" t="inlineStr">
        <is>
          <t>Societe &amp; Droits</t>
        </is>
      </c>
      <c r="C816" s="72" t="inlineStr">
        <is>
          <t>Faits de societe</t>
        </is>
      </c>
      <c r="D816" s="73" t="n">
        <v>40</v>
      </c>
      <c r="E816" s="73" t="inlineStr">
        <is>
          <t>N</t>
        </is>
      </c>
      <c r="F816" s="72" t="inlineStr">
        <is>
          <t>Média public suisse, vise la neutralité tout en abordant des sujets sociétaux variés.</t>
        </is>
      </c>
      <c r="G816" s="73" t="inlineStr">
        <is>
          <t>Oui</t>
        </is>
      </c>
      <c r="H816" s="72" t="inlineStr">
        <is>
          <t>Pertinence et utilité des sujets mis en cause par l'audience.</t>
        </is>
      </c>
      <c r="I816" s="73" t="n">
        <v>2</v>
      </c>
      <c r="J816" s="73" t="n">
        <v>5</v>
      </c>
      <c r="K816" s="74">
        <f>IFERROR(I816/J816,0)</f>
        <v/>
      </c>
      <c r="L816" s="73" t="n">
        <v>60</v>
      </c>
      <c r="M816" s="73" t="n">
        <v>3545</v>
      </c>
      <c r="N816" s="73" t="n">
        <v>0</v>
      </c>
      <c r="O816" s="72" t="inlineStr">
        <is>
          <t>Image_Carrousel</t>
        </is>
      </c>
    </row>
    <row r="817" ht="13.5" customHeight="1" s="109">
      <c r="A817" s="35" t="inlineStr">
        <is>
          <t>https://www.instagram.com/p/DTxZ4t8DNv1/</t>
        </is>
      </c>
      <c r="B817" s="35" t="inlineStr">
        <is>
          <t>Societe &amp; Droits</t>
        </is>
      </c>
      <c r="C817" s="35" t="inlineStr">
        <is>
          <t>Faits de societe</t>
        </is>
      </c>
      <c r="D817" s="36" t="n">
        <v>35</v>
      </c>
      <c r="E817" s="36" t="inlineStr">
        <is>
          <t>G</t>
        </is>
      </c>
      <c r="F817" s="35" t="inlineStr">
        <is>
          <t>RTS met en lumière la crise du logement et la critique d'Asloca, penchant vers l'équité.</t>
        </is>
      </c>
      <c r="G817" s="36" t="inlineStr">
        <is>
          <t>Non</t>
        </is>
      </c>
      <c r="H817" s="35" t="n"/>
      <c r="I817" s="36" t="n">
        <v>0</v>
      </c>
      <c r="J817" s="36" t="n">
        <v>3</v>
      </c>
      <c r="K817" s="74">
        <f>IFERROR(I817/J817,0)</f>
        <v/>
      </c>
      <c r="L817" s="36" t="n">
        <v>139</v>
      </c>
      <c r="M817" s="36" t="n">
        <v>3215</v>
      </c>
      <c r="N817" s="36" t="n">
        <v>0</v>
      </c>
      <c r="O817" s="35" t="inlineStr">
        <is>
          <t>Image_Carrousel</t>
        </is>
      </c>
    </row>
    <row r="818" ht="13.5" customHeight="1" s="109">
      <c r="A818" s="72" t="inlineStr">
        <is>
          <t>https://www.instagram.com/p/DTwp0k0jHU_/</t>
        </is>
      </c>
      <c r="B818" s="72" t="inlineStr">
        <is>
          <t>Securite &amp; Justice</t>
        </is>
      </c>
      <c r="C818" s="72" t="inlineStr">
        <is>
          <t>Ordre public</t>
        </is>
      </c>
      <c r="D818" s="73" t="n">
        <v>40</v>
      </c>
      <c r="E818" s="73" t="inlineStr">
        <is>
          <t>N</t>
        </is>
      </c>
      <c r="F818" s="72" t="inlineStr">
        <is>
          <t>Média public suisse, factuel, couvre une actualité tragique avec ton neutre.</t>
        </is>
      </c>
      <c r="G818" s="73" t="inlineStr">
        <is>
          <t>Non</t>
        </is>
      </c>
      <c r="H818" s="72" t="n"/>
      <c r="I818" s="73" t="n">
        <v>0</v>
      </c>
      <c r="J818" s="73" t="n">
        <v>7</v>
      </c>
      <c r="K818" s="74">
        <f>IFERROR(I818/J818,0)</f>
        <v/>
      </c>
      <c r="L818" s="73" t="n">
        <v>56</v>
      </c>
      <c r="M818" s="73" t="n">
        <v>6425</v>
      </c>
      <c r="N818" s="73" t="n">
        <v>0</v>
      </c>
      <c r="O818" s="72" t="inlineStr">
        <is>
          <t>Image_Carrousel</t>
        </is>
      </c>
    </row>
    <row r="819" ht="13.5" customHeight="1" s="109">
      <c r="A819" s="35" t="inlineStr">
        <is>
          <t>https://www.instagram.com/p/DTx8QOTgNXI/</t>
        </is>
      </c>
      <c r="B819" s="35" t="inlineStr">
        <is>
          <t>Societe &amp; Droits</t>
        </is>
      </c>
      <c r="C819" s="35" t="inlineStr">
        <is>
          <t>Faits de societe</t>
        </is>
      </c>
      <c r="D819" s="36" t="n">
        <v>40</v>
      </c>
      <c r="E819" s="36" t="inlineStr">
        <is>
          <t>N</t>
        </is>
      </c>
      <c r="F819" s="35" t="inlineStr">
        <is>
          <t>RTS, média public suisse, tend vers le centre-gauche par sa ligne éditoriale.</t>
        </is>
      </c>
      <c r="G819" s="36" t="inlineStr">
        <is>
          <t>Non</t>
        </is>
      </c>
      <c r="H819" s="35" t="n"/>
      <c r="I819" s="36" t="n">
        <v>0</v>
      </c>
      <c r="J819" s="36" t="n">
        <v>1</v>
      </c>
      <c r="K819" s="74">
        <f>IFERROR(I819/J819,0)</f>
        <v/>
      </c>
      <c r="L819" s="36" t="n">
        <v>1</v>
      </c>
      <c r="M819" s="36" t="n">
        <v>631</v>
      </c>
      <c r="N819" s="36" t="n">
        <v>0</v>
      </c>
      <c r="O819" s="35" t="inlineStr">
        <is>
          <t>Image_Carrousel</t>
        </is>
      </c>
    </row>
    <row r="820" ht="13.5" customHeight="1" s="109">
      <c r="A820" s="72" t="inlineStr">
        <is>
          <t>https://www.instagram.com/p/DTwwtk9D7at/</t>
        </is>
      </c>
      <c r="B820" s="72" t="inlineStr">
        <is>
          <t>Societe &amp; Droits</t>
        </is>
      </c>
      <c r="C820" s="72" t="inlineStr">
        <is>
          <t>Faits de societe</t>
        </is>
      </c>
      <c r="D820" s="73" t="n">
        <v>40</v>
      </c>
      <c r="E820" s="73" t="inlineStr">
        <is>
          <t>N</t>
        </is>
      </c>
      <c r="F820" s="72" t="inlineStr">
        <is>
          <t>Public service, sujet informatif, peu de biais manifeste.</t>
        </is>
      </c>
      <c r="G820" s="73" t="inlineStr">
        <is>
          <t>Non</t>
        </is>
      </c>
      <c r="H820" s="72" t="n"/>
      <c r="I820" s="73" t="n">
        <v>0</v>
      </c>
      <c r="J820" s="73" t="n">
        <v>9</v>
      </c>
      <c r="K820" s="74">
        <f>IFERROR(I820/J820,0)</f>
        <v/>
      </c>
      <c r="L820" s="73" t="n">
        <v>75</v>
      </c>
      <c r="M820" s="73" t="n">
        <v>9371</v>
      </c>
      <c r="N820" s="73" t="n">
        <v>0</v>
      </c>
      <c r="O820" s="72" t="inlineStr">
        <is>
          <t>Image_Carrousel</t>
        </is>
      </c>
    </row>
    <row r="821" ht="13.5" customHeight="1" s="109">
      <c r="A821" s="35" t="inlineStr">
        <is>
          <t>https://www.instagram.com/p/DTvQkMygRU4/</t>
        </is>
      </c>
      <c r="B821" s="35" t="inlineStr">
        <is>
          <t>Sante</t>
        </is>
      </c>
      <c r="C821" s="35" t="inlineStr">
        <is>
          <t>Sante publique</t>
        </is>
      </c>
      <c r="D821" s="36" t="n">
        <v>40</v>
      </c>
      <c r="E821" s="36" t="inlineStr">
        <is>
          <t>N</t>
        </is>
      </c>
      <c r="F821" s="35" t="inlineStr">
        <is>
          <t>RTS public, présente les faits d'une proposition sociale sans biais apparent.</t>
        </is>
      </c>
      <c r="G821" s="36" t="inlineStr">
        <is>
          <t>Non</t>
        </is>
      </c>
      <c r="H821" s="35" t="n"/>
      <c r="I821" s="36" t="n">
        <v>0</v>
      </c>
      <c r="J821" s="36" t="n">
        <v>7</v>
      </c>
      <c r="K821" s="74">
        <f>IFERROR(I821/J821,0)</f>
        <v/>
      </c>
      <c r="L821" s="36" t="n">
        <v>84</v>
      </c>
      <c r="M821" s="36" t="n">
        <v>2915</v>
      </c>
      <c r="N821" s="36" t="n">
        <v>0</v>
      </c>
      <c r="O821" s="35" t="inlineStr">
        <is>
          <t>Image_Carrousel</t>
        </is>
      </c>
    </row>
    <row r="822" ht="13.5" customHeight="1" s="109">
      <c r="A822" s="72" t="inlineStr">
        <is>
          <t>https://www.instagram.com/p/DTx8idhjO5Y/</t>
        </is>
      </c>
      <c r="B822" s="72" t="inlineStr">
        <is>
          <t>Culture &amp; Loisirs</t>
        </is>
      </c>
      <c r="C822" s="72" t="inlineStr">
        <is>
          <t>Arts</t>
        </is>
      </c>
      <c r="D822" s="73" t="n">
        <v>50</v>
      </c>
      <c r="E822" s="73" t="inlineStr">
        <is>
          <t>N</t>
        </is>
      </c>
      <c r="F822" s="72" t="inlineStr">
        <is>
          <t>Service public suisse couvrant des sujets diversifiés sans biais idéologique marqué.</t>
        </is>
      </c>
      <c r="G822" s="73" t="inlineStr">
        <is>
          <t>Non</t>
        </is>
      </c>
      <c r="H822" s="72" t="n"/>
      <c r="I822" s="73" t="n">
        <v>0</v>
      </c>
      <c r="J822" s="73" t="n">
        <v>9</v>
      </c>
      <c r="K822" s="74">
        <f>IFERROR(I822/J822,0)</f>
        <v/>
      </c>
      <c r="L822" s="73" t="n">
        <v>14</v>
      </c>
      <c r="M822" s="73" t="n">
        <v>2688</v>
      </c>
      <c r="N822" s="73" t="n">
        <v>0</v>
      </c>
      <c r="O822" s="72" t="inlineStr">
        <is>
          <t>Image_Carrousel</t>
        </is>
      </c>
    </row>
    <row r="823" ht="13.5" customHeight="1" s="109">
      <c r="A823" s="35" t="inlineStr">
        <is>
          <t>https://www.instagram.com/p/DTvWQk5j5xc/</t>
        </is>
      </c>
      <c r="B823" s="35" t="inlineStr">
        <is>
          <t>International</t>
        </is>
      </c>
      <c r="C823" s="35" t="inlineStr">
        <is>
          <t>Geopolitique</t>
        </is>
      </c>
      <c r="D823" s="36" t="n">
        <v>50</v>
      </c>
      <c r="E823" s="36" t="inlineStr">
        <is>
          <t>N</t>
        </is>
      </c>
      <c r="F823" s="35" t="inlineStr">
        <is>
          <t>RTS, un média public, rapporte les faits sans biais apparent, citant les propos.</t>
        </is>
      </c>
      <c r="G823" s="36" t="inlineStr">
        <is>
          <t>Non</t>
        </is>
      </c>
      <c r="H823" s="35" t="n"/>
      <c r="I823" s="36" t="n">
        <v>0</v>
      </c>
      <c r="J823" s="36" t="n">
        <v>7</v>
      </c>
      <c r="K823" s="74">
        <f>IFERROR(I823/J823,0)</f>
        <v/>
      </c>
      <c r="L823" s="36" t="n">
        <v>457</v>
      </c>
      <c r="M823" s="36" t="n">
        <v>8590</v>
      </c>
      <c r="N823" s="36" t="n">
        <v>187956</v>
      </c>
      <c r="O823" s="35" t="inlineStr">
        <is>
          <t>Video</t>
        </is>
      </c>
    </row>
    <row r="824" ht="13.5" customHeight="1" s="109">
      <c r="A824" s="72" t="inlineStr">
        <is>
          <t>https://www.instagram.com/p/DTvlMpvgUXG/</t>
        </is>
      </c>
      <c r="B824" s="72" t="inlineStr">
        <is>
          <t>International</t>
        </is>
      </c>
      <c r="C824" s="72" t="inlineStr">
        <is>
          <t>Geopolitique</t>
        </is>
      </c>
      <c r="D824" s="73" t="n">
        <v>40</v>
      </c>
      <c r="E824" s="73" t="inlineStr">
        <is>
          <t>N</t>
        </is>
      </c>
      <c r="F824" s="72" t="inlineStr">
        <is>
          <t>Présente la situation factuellement, expliquant la riposte de l'UE à une pression américaine.</t>
        </is>
      </c>
      <c r="G824" s="73" t="inlineStr">
        <is>
          <t>Non</t>
        </is>
      </c>
      <c r="H824" s="72" t="n"/>
      <c r="I824" s="73" t="n">
        <v>0</v>
      </c>
      <c r="J824" s="73" t="n">
        <v>5</v>
      </c>
      <c r="K824" s="74">
        <f>IFERROR(I824/J824,0)</f>
        <v/>
      </c>
      <c r="L824" s="73" t="n">
        <v>49</v>
      </c>
      <c r="M824" s="73" t="n">
        <v>3362</v>
      </c>
      <c r="N824" s="73" t="n">
        <v>59008</v>
      </c>
      <c r="O824" s="72" t="inlineStr">
        <is>
          <t>Video</t>
        </is>
      </c>
    </row>
    <row r="825" ht="13.5" customHeight="1" s="109">
      <c r="A825" s="35" t="inlineStr">
        <is>
          <t>https://www.instagram.com/p/DTw3i_qDjqH/</t>
        </is>
      </c>
      <c r="B825" s="35" t="inlineStr">
        <is>
          <t>Societe &amp; Droits</t>
        </is>
      </c>
      <c r="C825" s="35" t="inlineStr">
        <is>
          <t>Faits de societe</t>
        </is>
      </c>
      <c r="D825" s="36" t="n">
        <v>40</v>
      </c>
      <c r="E825" s="36" t="inlineStr">
        <is>
          <t>N</t>
        </is>
      </c>
      <c r="F825" s="35" t="inlineStr">
        <is>
          <t>Média public suisse; présente un débat sur l'évolution des pratiques de l'Église.</t>
        </is>
      </c>
      <c r="G825" s="36" t="inlineStr">
        <is>
          <t>Non</t>
        </is>
      </c>
      <c r="H825" s="35" t="inlineStr">
        <is>
          <t>Aucun commentaire ne critique le média.</t>
        </is>
      </c>
      <c r="I825" s="36" t="n">
        <v>0</v>
      </c>
      <c r="J825" s="36" t="n">
        <v>6</v>
      </c>
      <c r="K825" s="74">
        <f>IFERROR(I825/J825,0)</f>
        <v/>
      </c>
      <c r="L825" s="36" t="n">
        <v>56</v>
      </c>
      <c r="M825" s="36" t="n">
        <v>2672</v>
      </c>
      <c r="N825" s="36" t="n">
        <v>0</v>
      </c>
      <c r="O825" s="35" t="inlineStr">
        <is>
          <t>Image_Carrousel</t>
        </is>
      </c>
    </row>
    <row r="826" ht="13.5" customHeight="1" s="109">
      <c r="A826" s="72" t="inlineStr">
        <is>
          <t>https://www.instagram.com/p/DTuuOJajPyR/</t>
        </is>
      </c>
      <c r="B826" s="72" t="inlineStr">
        <is>
          <t>Culture &amp; Loisirs</t>
        </is>
      </c>
      <c r="C826" s="72" t="inlineStr">
        <is>
          <t>Arts</t>
        </is>
      </c>
      <c r="D826" s="73" t="n">
        <v>50</v>
      </c>
      <c r="E826" s="73" t="inlineStr">
        <is>
          <t>N</t>
        </is>
      </c>
      <c r="F826" s="72" t="inlineStr">
        <is>
          <t>Service public neutre, rapporte faits culturels sans prise de position. Informative.</t>
        </is>
      </c>
      <c r="G826" s="73" t="inlineStr">
        <is>
          <t>Oui</t>
        </is>
      </c>
      <c r="H826" s="72" t="inlineStr">
        <is>
          <t>Accusation de soutenir normalisation d'un génocide.</t>
        </is>
      </c>
      <c r="I826" s="73" t="n">
        <v>1</v>
      </c>
      <c r="J826" s="73" t="n">
        <v>5</v>
      </c>
      <c r="K826" s="74">
        <f>IFERROR(I826/J826,0)</f>
        <v/>
      </c>
      <c r="L826" s="73" t="n">
        <v>31</v>
      </c>
      <c r="M826" s="73" t="n">
        <v>1835</v>
      </c>
      <c r="N826" s="73" t="n">
        <v>0</v>
      </c>
      <c r="O826" s="72" t="inlineStr">
        <is>
          <t>Image_Carrousel</t>
        </is>
      </c>
    </row>
    <row r="827" ht="13.5" customHeight="1" s="109">
      <c r="A827" s="35" t="inlineStr">
        <is>
          <t>https://www.instagram.com/p/DTuSwgjilvp/</t>
        </is>
      </c>
      <c r="B827" s="35" t="inlineStr">
        <is>
          <t>International</t>
        </is>
      </c>
      <c r="C827" s="35" t="inlineStr">
        <is>
          <t>Geopolitique</t>
        </is>
      </c>
      <c r="D827" s="36" t="n">
        <v>50</v>
      </c>
      <c r="E827" s="36" t="inlineStr">
        <is>
          <t>N</t>
        </is>
      </c>
      <c r="F827" s="35" t="inlineStr">
        <is>
          <t>Rapport factuel sur la politique frontalière finlandaise face à une menace hybride.</t>
        </is>
      </c>
      <c r="G827" s="36" t="inlineStr">
        <is>
          <t>Non</t>
        </is>
      </c>
      <c r="H827" s="35" t="n"/>
      <c r="I827" s="36" t="n">
        <v>0</v>
      </c>
      <c r="J827" s="36" t="n">
        <v>7</v>
      </c>
      <c r="K827" s="74">
        <f>IFERROR(I827/J827,0)</f>
        <v/>
      </c>
      <c r="L827" s="36" t="n">
        <v>41</v>
      </c>
      <c r="M827" s="36" t="n">
        <v>2880</v>
      </c>
      <c r="N827" s="36" t="n">
        <v>0</v>
      </c>
      <c r="O827" s="35" t="inlineStr">
        <is>
          <t>Image_Carrousel</t>
        </is>
      </c>
    </row>
    <row r="828" ht="13.5" customHeight="1" s="109">
      <c r="A828" s="72" t="inlineStr">
        <is>
          <t>https://www.instagram.com/p/DTxbBwFjNlS/</t>
        </is>
      </c>
      <c r="B828" s="72" t="inlineStr">
        <is>
          <t>International</t>
        </is>
      </c>
      <c r="C828" s="72" t="inlineStr">
        <is>
          <t>Geopolitique</t>
        </is>
      </c>
      <c r="D828" s="73" t="n">
        <v>45</v>
      </c>
      <c r="E828" s="73" t="inlineStr">
        <is>
          <t>N</t>
        </is>
      </c>
      <c r="F828" s="72" t="inlineStr">
        <is>
          <t>Reportage factuel d'un événement international et de la visite d'un chef d'État.</t>
        </is>
      </c>
      <c r="G828" s="73" t="inlineStr">
        <is>
          <t>Oui</t>
        </is>
      </c>
      <c r="H828" s="72" t="inlineStr">
        <is>
          <t>L'image ne correspond pas au sujet (avion présidentiel).</t>
        </is>
      </c>
      <c r="I828" s="73" t="n">
        <v>1</v>
      </c>
      <c r="J828" s="73" t="n">
        <v>6</v>
      </c>
      <c r="K828" s="74">
        <f>IFERROR(I828/J828,0)</f>
        <v/>
      </c>
      <c r="L828" s="73" t="n">
        <v>160</v>
      </c>
      <c r="M828" s="73" t="n">
        <v>7139</v>
      </c>
      <c r="N828" s="73" t="n">
        <v>0</v>
      </c>
      <c r="O828" s="72" t="inlineStr">
        <is>
          <t>Image_Carrousel</t>
        </is>
      </c>
    </row>
    <row r="829" ht="13.5" customHeight="1" s="109">
      <c r="A829" s="35" t="inlineStr">
        <is>
          <t>https://www.instagram.com/p/DTuj63uAbj6/</t>
        </is>
      </c>
      <c r="B829" s="35" t="inlineStr">
        <is>
          <t>International</t>
        </is>
      </c>
      <c r="C829" s="35" t="inlineStr">
        <is>
          <t>Geopolitique</t>
        </is>
      </c>
      <c r="D829" s="36" t="n">
        <v>45</v>
      </c>
      <c r="E829" s="36" t="inlineStr">
        <is>
          <t>N</t>
        </is>
      </c>
      <c r="F829" s="35" t="inlineStr">
        <is>
          <t>Sources variées (RTS, CNN, Euronews, 20 Minutes), généralement mainstream et centristes.</t>
        </is>
      </c>
      <c r="G829" s="36" t="inlineStr">
        <is>
          <t>Oui</t>
        </is>
      </c>
      <c r="H829" s="35" t="inlineStr">
        <is>
          <t>Article élude aspect racial en se focalisant sur passeport.</t>
        </is>
      </c>
      <c r="I829" s="36" t="n">
        <v>1</v>
      </c>
      <c r="J829" s="36" t="n">
        <v>6</v>
      </c>
      <c r="K829" s="74">
        <f>IFERROR(I829/J829,0)</f>
        <v/>
      </c>
      <c r="L829" s="36" t="n">
        <v>48</v>
      </c>
      <c r="M829" s="36" t="n">
        <v>7898</v>
      </c>
      <c r="N829" s="36" t="n">
        <v>0</v>
      </c>
      <c r="O829" s="35" t="inlineStr">
        <is>
          <t>Image_Carrousel</t>
        </is>
      </c>
    </row>
    <row r="830" ht="13.5" customHeight="1" s="109">
      <c r="A830" s="72" t="inlineStr">
        <is>
          <t>https://www.instagram.com/p/DTu7RuAARzo/</t>
        </is>
      </c>
      <c r="B830" s="72" t="inlineStr">
        <is>
          <t>Politique &amp; Institutions</t>
        </is>
      </c>
      <c r="C830" s="72" t="inlineStr">
        <is>
          <t>Vie politique CH</t>
        </is>
      </c>
      <c r="D830" s="73" t="n">
        <v>50</v>
      </c>
      <c r="E830" s="73" t="inlineStr">
        <is>
          <t>N</t>
        </is>
      </c>
      <c r="F830" s="72" t="inlineStr">
        <is>
          <t>Reporting factuel du discours présidentiel sans éditorialisation marquée.</t>
        </is>
      </c>
      <c r="G830" s="73" t="inlineStr">
        <is>
          <t>Oui</t>
        </is>
      </c>
      <c r="H830" s="72" t="inlineStr">
        <is>
          <t>Questionne l'absence de justice mentionnée pour Crans-Montana.</t>
        </is>
      </c>
      <c r="I830" s="73" t="n">
        <v>1</v>
      </c>
      <c r="J830" s="73" t="n">
        <v>10</v>
      </c>
      <c r="K830" s="74">
        <f>IFERROR(I830/J830,0)</f>
        <v/>
      </c>
      <c r="L830" s="73" t="n">
        <v>69</v>
      </c>
      <c r="M830" s="73" t="n">
        <v>6192</v>
      </c>
      <c r="N830" s="73" t="n">
        <v>68801</v>
      </c>
      <c r="O830" s="72" t="inlineStr">
        <is>
          <t>Video</t>
        </is>
      </c>
    </row>
    <row r="831" ht="13.5" customHeight="1" s="109">
      <c r="A831" s="35" t="inlineStr">
        <is>
          <t>https://www.instagram.com/p/DTvIT4sjj4b/</t>
        </is>
      </c>
      <c r="B831" s="35" t="inlineStr">
        <is>
          <t>International</t>
        </is>
      </c>
      <c r="C831" s="35" t="inlineStr">
        <is>
          <t>Conflits</t>
        </is>
      </c>
      <c r="D831" s="36" t="n">
        <v>50</v>
      </c>
      <c r="E831" s="36" t="inlineStr">
        <is>
          <t>N</t>
        </is>
      </c>
      <c r="F831" s="35" t="inlineStr">
        <is>
          <t>RTS, média public suisse, couverture factuelle des risques liés au conflit.</t>
        </is>
      </c>
      <c r="G831" s="36" t="inlineStr">
        <is>
          <t>Non</t>
        </is>
      </c>
      <c r="H831" s="35" t="n"/>
      <c r="I831" s="36" t="n">
        <v>0</v>
      </c>
      <c r="J831" s="36" t="n">
        <v>3</v>
      </c>
      <c r="K831" s="74">
        <f>IFERROR(I831/J831,0)</f>
        <v/>
      </c>
      <c r="L831" s="36" t="n">
        <v>73</v>
      </c>
      <c r="M831" s="36" t="n">
        <v>4136</v>
      </c>
      <c r="N831" s="36" t="n">
        <v>0</v>
      </c>
      <c r="O831" s="35" t="inlineStr">
        <is>
          <t>Image_Carrousel</t>
        </is>
      </c>
    </row>
    <row r="832" ht="13.5" customHeight="1" s="109">
      <c r="A832" s="72" t="inlineStr">
        <is>
          <t>https://www.instagram.com/p/DTu1GX2jTnQ/</t>
        </is>
      </c>
      <c r="B832" s="72" t="inlineStr">
        <is>
          <t>Societe &amp; Droits</t>
        </is>
      </c>
      <c r="C832" s="72" t="inlineStr">
        <is>
          <t>Faits de societe</t>
        </is>
      </c>
      <c r="D832" s="73" t="n">
        <v>35</v>
      </c>
      <c r="E832" s="73" t="inlineStr">
        <is>
          <t>G</t>
        </is>
      </c>
      <c r="F832" s="72" t="inlineStr">
        <is>
          <t>Mettent en lumière les droits des locataires face aux intérêts économiques des propriétaires.</t>
        </is>
      </c>
      <c r="G832" s="73" t="inlineStr">
        <is>
          <t>Non</t>
        </is>
      </c>
      <c r="H832" s="72" t="n"/>
      <c r="I832" s="73" t="n">
        <v>0</v>
      </c>
      <c r="J832" s="73" t="n">
        <v>6</v>
      </c>
      <c r="K832" s="74">
        <f>IFERROR(I832/J832,0)</f>
        <v/>
      </c>
      <c r="L832" s="73" t="n">
        <v>113</v>
      </c>
      <c r="M832" s="73" t="n">
        <v>5764</v>
      </c>
      <c r="N832" s="73" t="n">
        <v>0</v>
      </c>
      <c r="O832" s="72" t="inlineStr">
        <is>
          <t>Image_Carrousel</t>
        </is>
      </c>
    </row>
    <row r="833" ht="13.5" customHeight="1" s="109">
      <c r="A833" s="35" t="inlineStr">
        <is>
          <t>https://www.instagram.com/p/DTvKkLAjHXd/</t>
        </is>
      </c>
      <c r="B833" s="35" t="inlineStr">
        <is>
          <t>Politique &amp; Institutions</t>
        </is>
      </c>
      <c r="C833" s="35" t="inlineStr">
        <is>
          <t>Autorites</t>
        </is>
      </c>
      <c r="D833" s="36" t="n">
        <v>75</v>
      </c>
      <c r="E833" s="36" t="inlineStr">
        <is>
          <t>D</t>
        </is>
      </c>
      <c r="F833" s="35" t="inlineStr">
        <is>
          <t>Manque de critique sur le WEF perçu comme biais pro-droite par commentaire.</t>
        </is>
      </c>
      <c r="G833" s="36" t="inlineStr">
        <is>
          <t>Oui</t>
        </is>
      </c>
      <c r="H833" s="35" t="inlineStr">
        <is>
          <t>Manque de critique sur le WEF et biais perçu comme pro-droite.</t>
        </is>
      </c>
      <c r="I833" s="36" t="n">
        <v>1</v>
      </c>
      <c r="J833" s="36" t="n">
        <v>9</v>
      </c>
      <c r="K833" s="74">
        <f>IFERROR(I833/J833,0)</f>
        <v/>
      </c>
      <c r="L833" s="36" t="n">
        <v>18</v>
      </c>
      <c r="M833" s="36" t="n">
        <v>1833</v>
      </c>
      <c r="N833" s="36" t="n">
        <v>0</v>
      </c>
      <c r="O833" s="35" t="inlineStr">
        <is>
          <t>Image_Carrousel</t>
        </is>
      </c>
    </row>
    <row r="834" ht="13.5" customHeight="1" s="109">
      <c r="A834" s="72" t="inlineStr">
        <is>
          <t>https://www.instagram.com/p/DTs5hVjDQBA/</t>
        </is>
      </c>
      <c r="B834" s="72" t="inlineStr">
        <is>
          <t>Culture &amp; Loisirs</t>
        </is>
      </c>
      <c r="C834" s="72" t="inlineStr">
        <is>
          <t>Arts</t>
        </is>
      </c>
      <c r="D834" s="73" t="n">
        <v>40</v>
      </c>
      <c r="E834" s="73" t="inlineStr">
        <is>
          <t>G</t>
        </is>
      </c>
      <c r="F834" s="72" t="inlineStr">
        <is>
          <t>Service public, couvre événement culturel populaire, ton informatif.</t>
        </is>
      </c>
      <c r="G834" s="73" t="inlineStr">
        <is>
          <t>Non</t>
        </is>
      </c>
      <c r="H834" s="72" t="n"/>
      <c r="I834" s="73" t="n">
        <v>0</v>
      </c>
      <c r="J834" s="73" t="n">
        <v>7</v>
      </c>
      <c r="K834" s="74">
        <f>IFERROR(I834/J834,0)</f>
        <v/>
      </c>
      <c r="L834" s="73" t="n">
        <v>7</v>
      </c>
      <c r="M834" s="73" t="n">
        <v>1836</v>
      </c>
      <c r="N834" s="73" t="n">
        <v>23259</v>
      </c>
      <c r="O834" s="72" t="inlineStr">
        <is>
          <t>Video</t>
        </is>
      </c>
    </row>
    <row r="835" ht="13.5" customHeight="1" s="109">
      <c r="A835" s="35" t="inlineStr">
        <is>
          <t>https://www.instagram.com/p/DTtAWyhgdKN/</t>
        </is>
      </c>
      <c r="B835" s="35" t="inlineStr">
        <is>
          <t>Societe &amp; Droits</t>
        </is>
      </c>
      <c r="C835" s="35" t="inlineStr">
        <is>
          <t>Faits de societe</t>
        </is>
      </c>
      <c r="D835" s="36" t="n">
        <v>40</v>
      </c>
      <c r="E835" s="36" t="inlineStr">
        <is>
          <t>N</t>
        </is>
      </c>
      <c r="F835" s="35" t="inlineStr">
        <is>
          <t>RTS rapporte l'impact social de la crise du logement et les solutions publiques.</t>
        </is>
      </c>
      <c r="G835" s="36" t="inlineStr">
        <is>
          <t>Non</t>
        </is>
      </c>
      <c r="H835" s="35" t="n"/>
      <c r="I835" s="36" t="n">
        <v>0</v>
      </c>
      <c r="J835" s="36" t="n">
        <v>6</v>
      </c>
      <c r="K835" s="74">
        <f>IFERROR(I835/J835,0)</f>
        <v/>
      </c>
      <c r="L835" s="36" t="n">
        <v>193</v>
      </c>
      <c r="M835" s="36" t="n">
        <v>4472</v>
      </c>
      <c r="N835" s="36" t="n">
        <v>0</v>
      </c>
      <c r="O835" s="35" t="inlineStr">
        <is>
          <t>Image_Carrousel</t>
        </is>
      </c>
    </row>
    <row r="836" ht="13.5" customHeight="1" s="109">
      <c r="A836" s="72" t="inlineStr">
        <is>
          <t>https://www.instagram.com/p/DTuL-o4j67d/</t>
        </is>
      </c>
      <c r="B836" s="72" t="inlineStr">
        <is>
          <t>Economie &amp; Travail</t>
        </is>
      </c>
      <c r="C836" s="72" t="inlineStr">
        <is>
          <t>Consommation</t>
        </is>
      </c>
      <c r="D836" s="73" t="n">
        <v>40</v>
      </c>
      <c r="E836" s="73" t="inlineStr">
        <is>
          <t>N</t>
        </is>
      </c>
      <c r="F836" s="72" t="inlineStr">
        <is>
          <t>Média public, rapporte étude sur précarité financière et impact social.</t>
        </is>
      </c>
      <c r="G836" s="73" t="inlineStr">
        <is>
          <t>Oui</t>
        </is>
      </c>
      <c r="H836" s="72" t="inlineStr">
        <is>
          <t>Un commentaire conteste la temporalité ou l'exhaustivité de l'information.</t>
        </is>
      </c>
      <c r="I836" s="73" t="n">
        <v>1</v>
      </c>
      <c r="J836" s="73" t="n">
        <v>6</v>
      </c>
      <c r="K836" s="74">
        <f>IFERROR(I836/J836,0)</f>
        <v/>
      </c>
      <c r="L836" s="73" t="n">
        <v>135</v>
      </c>
      <c r="M836" s="73" t="n">
        <v>5962</v>
      </c>
      <c r="N836" s="73" t="n">
        <v>0</v>
      </c>
      <c r="O836" s="72" t="inlineStr">
        <is>
          <t>Image_Carrousel</t>
        </is>
      </c>
    </row>
    <row r="837" ht="13.5" customHeight="1" s="109">
      <c r="A837" s="35" t="inlineStr">
        <is>
          <t>https://www.instagram.com/p/DTuhFIrjt05/</t>
        </is>
      </c>
      <c r="B837" s="35" t="inlineStr">
        <is>
          <t>Environnement &amp; Nature</t>
        </is>
      </c>
      <c r="C837" s="35" t="inlineStr">
        <is>
          <t>Climat / Ecologie</t>
        </is>
      </c>
      <c r="D837" s="36" t="n">
        <v>50</v>
      </c>
      <c r="E837" s="36" t="inlineStr">
        <is>
          <t>N</t>
        </is>
      </c>
      <c r="F837" s="35" t="inlineStr">
        <is>
          <t>Rapport factuel sur un événement naturel sans biais politique évident.</t>
        </is>
      </c>
      <c r="G837" s="36" t="inlineStr">
        <is>
          <t>Oui</t>
        </is>
      </c>
      <c r="H837" s="35" t="inlineStr">
        <is>
          <t>Information diffusée trop tard, empêchant de profiter de l'événement.</t>
        </is>
      </c>
      <c r="I837" s="36" t="n">
        <v>1</v>
      </c>
      <c r="J837" s="36" t="n">
        <v>10</v>
      </c>
      <c r="K837" s="74">
        <f>IFERROR(I837/J837,0)</f>
        <v/>
      </c>
      <c r="L837" s="36" t="n">
        <v>88</v>
      </c>
      <c r="M837" s="36" t="n">
        <v>27300</v>
      </c>
      <c r="N837" s="36" t="n">
        <v>0</v>
      </c>
      <c r="O837" s="35" t="inlineStr">
        <is>
          <t>Image_Carrousel</t>
        </is>
      </c>
    </row>
    <row r="838" ht="13.5" customHeight="1" s="109">
      <c r="A838" s="72" t="inlineStr">
        <is>
          <t>https://www.instagram.com/p/DTuFBZWj4qs/</t>
        </is>
      </c>
      <c r="B838" s="72" t="inlineStr">
        <is>
          <t>Culture &amp; Loisirs</t>
        </is>
      </c>
      <c r="C838" s="72" t="inlineStr">
        <is>
          <t>Arts</t>
        </is>
      </c>
      <c r="D838" s="73" t="n">
        <v>40</v>
      </c>
      <c r="E838" s="73" t="inlineStr">
        <is>
          <t>G</t>
        </is>
      </c>
      <c r="F838" s="72" t="inlineStr">
        <is>
          <t>RTS, service public suisse, infos factuelles, valorise production locale et sociale.</t>
        </is>
      </c>
      <c r="G838" s="73" t="inlineStr">
        <is>
          <t>Non</t>
        </is>
      </c>
      <c r="H838" s="72" t="n"/>
      <c r="I838" s="73" t="n">
        <v>0</v>
      </c>
      <c r="J838" s="73" t="n">
        <v>8</v>
      </c>
      <c r="K838" s="74">
        <f>IFERROR(I838/J838,0)</f>
        <v/>
      </c>
      <c r="L838" s="73" t="n">
        <v>206</v>
      </c>
      <c r="M838" s="73" t="n">
        <v>4434</v>
      </c>
      <c r="N838" s="73" t="n">
        <v>0</v>
      </c>
      <c r="O838" s="72" t="inlineStr">
        <is>
          <t>Image_Carrousel</t>
        </is>
      </c>
    </row>
    <row r="839" ht="13.5" customHeight="1" s="109">
      <c r="A839" s="35" t="inlineStr">
        <is>
          <t>https://www.instagram.com/p/DTxIuQvCKiB/</t>
        </is>
      </c>
      <c r="B839" s="35" t="inlineStr">
        <is>
          <t>International</t>
        </is>
      </c>
      <c r="C839" s="35" t="inlineStr">
        <is>
          <t>Geopolitique</t>
        </is>
      </c>
      <c r="D839" s="36" t="n">
        <v>45</v>
      </c>
      <c r="E839" s="36" t="inlineStr">
        <is>
          <t>N</t>
        </is>
      </c>
      <c r="F839" s="35" t="inlineStr">
        <is>
          <t>RTS Info (media public) présente des faits électoraux et des chiffres de manière neutre.</t>
        </is>
      </c>
      <c r="G839" s="36" t="inlineStr">
        <is>
          <t>Non</t>
        </is>
      </c>
      <c r="H839" s="35" t="inlineStr">
        <is>
          <t>Aucune</t>
        </is>
      </c>
      <c r="I839" s="36" t="n">
        <v>0</v>
      </c>
      <c r="J839" s="36" t="n">
        <v>4</v>
      </c>
      <c r="K839" s="74">
        <f>IFERROR(I839/J839,0)</f>
        <v/>
      </c>
      <c r="L839" s="36" t="n">
        <v>980</v>
      </c>
      <c r="M839" s="36" t="n">
        <v>9492</v>
      </c>
      <c r="N839" s="36" t="n">
        <v>0</v>
      </c>
      <c r="O839" s="35" t="inlineStr">
        <is>
          <t>Image_Carrousel</t>
        </is>
      </c>
    </row>
    <row r="840" ht="13.5" customHeight="1" s="109">
      <c r="A840" s="72" t="inlineStr">
        <is>
          <t>https://www.instagram.com/p/DTr_HzvjeVg/</t>
        </is>
      </c>
      <c r="B840" s="72" t="inlineStr">
        <is>
          <t>Securite &amp; Justice</t>
        </is>
      </c>
      <c r="C840" s="72" t="inlineStr">
        <is>
          <t>Justice</t>
        </is>
      </c>
      <c r="D840" s="73" t="n">
        <v>50</v>
      </c>
      <c r="E840" s="73" t="inlineStr">
        <is>
          <t>N</t>
        </is>
      </c>
      <c r="F840" s="72" t="inlineStr">
        <is>
          <t>RTS est un média de service public suisse, cherchant l'objectivité et l'équilibre.</t>
        </is>
      </c>
      <c r="G840" s="73" t="inlineStr">
        <is>
          <t>Non</t>
        </is>
      </c>
      <c r="H840" s="72" t="n"/>
      <c r="I840" s="73" t="n">
        <v>0</v>
      </c>
      <c r="J840" s="73" t="n">
        <v>6</v>
      </c>
      <c r="K840" s="74">
        <f>IFERROR(I840/J840,0)</f>
        <v/>
      </c>
      <c r="L840" s="73" t="n">
        <v>87</v>
      </c>
      <c r="M840" s="73" t="n">
        <v>7112</v>
      </c>
      <c r="N840" s="73" t="n">
        <v>0</v>
      </c>
      <c r="O840" s="72" t="inlineStr">
        <is>
          <t>Image_Carrousel</t>
        </is>
      </c>
    </row>
    <row r="841" ht="13.5" customHeight="1" s="109">
      <c r="A841" s="35" t="inlineStr">
        <is>
          <t>https://www.instagram.com/p/DTsp7xzDUSi/</t>
        </is>
      </c>
      <c r="B841" s="35" t="inlineStr">
        <is>
          <t>Securite &amp; Justice</t>
        </is>
      </c>
      <c r="C841" s="35" t="inlineStr">
        <is>
          <t>Ordre public</t>
        </is>
      </c>
      <c r="D841" s="36" t="n">
        <v>45</v>
      </c>
      <c r="E841" s="36" t="inlineStr">
        <is>
          <t>N</t>
        </is>
      </c>
      <c r="F841" s="35" t="inlineStr">
        <is>
          <t>Média public suisse, réputé pour sa neutralité factuelle.</t>
        </is>
      </c>
      <c r="G841" s="36" t="inlineStr">
        <is>
          <t>Non</t>
        </is>
      </c>
      <c r="H841" s="35" t="n"/>
      <c r="I841" s="36" t="n">
        <v>0</v>
      </c>
      <c r="J841" s="36" t="n">
        <v>11</v>
      </c>
      <c r="K841" s="74">
        <f>IFERROR(I841/J841,0)</f>
        <v/>
      </c>
      <c r="L841" s="36" t="n">
        <v>65</v>
      </c>
      <c r="M841" s="36" t="n">
        <v>4254</v>
      </c>
      <c r="N841" s="36" t="n">
        <v>55296</v>
      </c>
      <c r="O841" s="35" t="inlineStr">
        <is>
          <t>Video</t>
        </is>
      </c>
    </row>
    <row r="842" ht="13.5" customHeight="1" s="109">
      <c r="A842" s="72" t="inlineStr">
        <is>
          <t>https://www.instagram.com/p/DTsynkGDYaH/</t>
        </is>
      </c>
      <c r="B842" s="72" t="inlineStr">
        <is>
          <t>Culture &amp; Loisirs</t>
        </is>
      </c>
      <c r="C842" s="72" t="inlineStr">
        <is>
          <t>Arts</t>
        </is>
      </c>
      <c r="D842" s="73" t="n">
        <v>45</v>
      </c>
      <c r="E842" s="73" t="inlineStr">
        <is>
          <t>N</t>
        </is>
      </c>
      <c r="F842" s="72" t="inlineStr">
        <is>
          <t>Article culturel factuel sur une série, information neutre. RTS est une entité publique.</t>
        </is>
      </c>
      <c r="G842" s="73" t="inlineStr">
        <is>
          <t>Oui</t>
        </is>
      </c>
      <c r="H842" s="72" t="inlineStr">
        <is>
          <t>Le media est invité à investir dans la série Game of Thrones.</t>
        </is>
      </c>
      <c r="I842" s="73" t="n">
        <v>1</v>
      </c>
      <c r="J842" s="73" t="n">
        <v>7</v>
      </c>
      <c r="K842" s="74">
        <f>IFERROR(I842/J842,0)</f>
        <v/>
      </c>
      <c r="L842" s="73" t="n">
        <v>9</v>
      </c>
      <c r="M842" s="73" t="n">
        <v>2125</v>
      </c>
      <c r="N842" s="73" t="n">
        <v>0</v>
      </c>
      <c r="O842" s="72" t="inlineStr">
        <is>
          <t>Image_Carrousel</t>
        </is>
      </c>
    </row>
    <row r="843" ht="13.5" customHeight="1" s="109">
      <c r="A843" s="35" t="inlineStr">
        <is>
          <t>https://www.instagram.com/p/DTsM7PbEToN/</t>
        </is>
      </c>
      <c r="B843" s="35" t="inlineStr">
        <is>
          <t>Securite &amp; Justice</t>
        </is>
      </c>
      <c r="C843" s="35" t="inlineStr">
        <is>
          <t>Ordre public</t>
        </is>
      </c>
      <c r="D843" s="36" t="n">
        <v>50</v>
      </c>
      <c r="E843" s="36" t="inlineStr">
        <is>
          <t>N</t>
        </is>
      </c>
      <c r="F843" s="35" t="inlineStr">
        <is>
          <t>Reportage factuel sur les actions de l'État pour rétablir l'ordre, incluant suspension de droits.</t>
        </is>
      </c>
      <c r="G843" s="36" t="inlineStr">
        <is>
          <t>Oui</t>
        </is>
      </c>
      <c r="H843" s="35" t="inlineStr">
        <is>
          <t>Manque de couverture sur l'Iran, biais perçu par les commentateurs.</t>
        </is>
      </c>
      <c r="I843" s="36" t="n">
        <v>2</v>
      </c>
      <c r="J843" s="36" t="n">
        <v>8</v>
      </c>
      <c r="K843" s="74">
        <f>IFERROR(I843/J843,0)</f>
        <v/>
      </c>
      <c r="L843" s="36" t="n">
        <v>25</v>
      </c>
      <c r="M843" s="36" t="n">
        <v>2096</v>
      </c>
      <c r="N843" s="36" t="n">
        <v>0</v>
      </c>
      <c r="O843" s="35" t="inlineStr">
        <is>
          <t>Image_Carrousel</t>
        </is>
      </c>
    </row>
    <row r="844" ht="13.5" customHeight="1" s="109">
      <c r="A844" s="72" t="inlineStr">
        <is>
          <t>https://www.instagram.com/p/DTsQSzaD6Ub/</t>
        </is>
      </c>
      <c r="B844" s="72" t="inlineStr">
        <is>
          <t>Sante</t>
        </is>
      </c>
      <c r="C844" s="72" t="inlineStr">
        <is>
          <t>Sante publique</t>
        </is>
      </c>
      <c r="D844" s="73" t="n">
        <v>45</v>
      </c>
      <c r="E844" s="73" t="inlineStr">
        <is>
          <t>N</t>
        </is>
      </c>
      <c r="F844" s="72" t="inlineStr">
        <is>
          <t>RTS rapporte faits sur surcharge hôpitaux et rappelle gestes barrières, angle neutre.</t>
        </is>
      </c>
      <c r="G844" s="73" t="inlineStr">
        <is>
          <t>Non</t>
        </is>
      </c>
      <c r="H844" s="72" t="n"/>
      <c r="I844" s="73" t="n">
        <v>0</v>
      </c>
      <c r="J844" s="73" t="n">
        <v>7</v>
      </c>
      <c r="K844" s="74">
        <f>IFERROR(I844/J844,0)</f>
        <v/>
      </c>
      <c r="L844" s="73" t="n">
        <v>36</v>
      </c>
      <c r="M844" s="73" t="n">
        <v>4324</v>
      </c>
      <c r="N844" s="73" t="n">
        <v>0</v>
      </c>
      <c r="O844" s="72" t="inlineStr">
        <is>
          <t>Image_Carrousel</t>
        </is>
      </c>
    </row>
    <row r="845" ht="13.5" customHeight="1" s="109">
      <c r="A845" s="35" t="inlineStr">
        <is>
          <t>https://www.instagram.com/p/DTs05OZFmdf/</t>
        </is>
      </c>
      <c r="B845" s="35" t="inlineStr">
        <is>
          <t>Politique &amp; Institutions</t>
        </is>
      </c>
      <c r="C845" s="35" t="inlineStr">
        <is>
          <t>Autorites</t>
        </is>
      </c>
      <c r="D845" s="36" t="n">
        <v>50</v>
      </c>
      <c r="E845" s="36" t="inlineStr">
        <is>
          <t>N</t>
        </is>
      </c>
      <c r="F845" s="35" t="inlineStr">
        <is>
          <t>RTS est un média de service public, cherchant la neutralité et l'information factuelle.</t>
        </is>
      </c>
      <c r="G845" s="36" t="inlineStr">
        <is>
          <t>Non</t>
        </is>
      </c>
      <c r="H845" s="35" t="n"/>
      <c r="I845" s="36" t="n">
        <v>0</v>
      </c>
      <c r="J845" s="36" t="n">
        <v>8</v>
      </c>
      <c r="K845" s="74">
        <f>IFERROR(I845/J845,0)</f>
        <v/>
      </c>
      <c r="L845" s="36" t="n">
        <v>53</v>
      </c>
      <c r="M845" s="36" t="n">
        <v>2030</v>
      </c>
      <c r="N845" s="36" t="n">
        <v>0</v>
      </c>
      <c r="O845" s="35" t="inlineStr">
        <is>
          <t>Image_Carrousel</t>
        </is>
      </c>
    </row>
    <row r="846" ht="13.5" customHeight="1" s="109">
      <c r="A846" s="72" t="inlineStr">
        <is>
          <t>https://www.instagram.com/p/DTruCB-DOky/</t>
        </is>
      </c>
      <c r="B846" s="72" t="inlineStr">
        <is>
          <t>Environnement &amp; Nature</t>
        </is>
      </c>
      <c r="C846" s="72" t="inlineStr">
        <is>
          <t>Climat / Ecologie</t>
        </is>
      </c>
      <c r="D846" s="73" t="n">
        <v>50</v>
      </c>
      <c r="E846" s="73" t="inlineStr">
        <is>
          <t>N</t>
        </is>
      </c>
      <c r="F846" s="72" t="inlineStr">
        <is>
          <t>Reportage factuel et informatif sur la science environnementale et un prix.</t>
        </is>
      </c>
      <c r="G846" s="73" t="inlineStr">
        <is>
          <t>Non</t>
        </is>
      </c>
      <c r="H846" s="72" t="n"/>
      <c r="I846" s="73" t="n">
        <v>0</v>
      </c>
      <c r="J846" s="73" t="n">
        <v>8</v>
      </c>
      <c r="K846" s="74">
        <f>IFERROR(I846/J846,0)</f>
        <v/>
      </c>
      <c r="L846" s="73" t="n">
        <v>15</v>
      </c>
      <c r="M846" s="73" t="n">
        <v>3165</v>
      </c>
      <c r="N846" s="73" t="n">
        <v>0</v>
      </c>
      <c r="O846" s="72" t="inlineStr">
        <is>
          <t>Image_Carrousel</t>
        </is>
      </c>
    </row>
    <row r="847" ht="13.5" customHeight="1" s="109">
      <c r="A847" s="35" t="inlineStr">
        <is>
          <t>https://www.instagram.com/p/DTsYfVFAr8m/</t>
        </is>
      </c>
      <c r="B847" s="35" t="inlineStr">
        <is>
          <t>Culture &amp; Loisirs</t>
        </is>
      </c>
      <c r="C847" s="35" t="inlineStr">
        <is>
          <t>Sport</t>
        </is>
      </c>
      <c r="D847" s="36" t="n">
        <v>50</v>
      </c>
      <c r="E847" s="36" t="inlineStr">
        <is>
          <t>N</t>
        </is>
      </c>
      <c r="F847" s="35" t="inlineStr">
        <is>
          <t>Reportage factuel sur un événement sportif chaotique sans orientation politique.</t>
        </is>
      </c>
      <c r="G847" s="36" t="inlineStr">
        <is>
          <t>Oui</t>
        </is>
      </c>
      <c r="H847" s="35" t="inlineStr">
        <is>
          <t>Un commentaire minimise le focus médiatique sur le "chaos" du match.</t>
        </is>
      </c>
      <c r="I847" s="36" t="n">
        <v>1</v>
      </c>
      <c r="J847" s="36" t="n">
        <v>6</v>
      </c>
      <c r="K847" s="74">
        <f>IFERROR(I847/J847,0)</f>
        <v/>
      </c>
      <c r="L847" s="36" t="n">
        <v>456</v>
      </c>
      <c r="M847" s="36" t="n">
        <v>11880</v>
      </c>
      <c r="N847" s="36" t="n">
        <v>0</v>
      </c>
      <c r="O847" s="35" t="inlineStr">
        <is>
          <t>Image_Carrousel</t>
        </is>
      </c>
    </row>
    <row r="848" ht="13.5" customHeight="1" s="109">
      <c r="A848" s="72" t="inlineStr">
        <is>
          <t>https://www.instagram.com/p/DTp4Tm2grt4/</t>
        </is>
      </c>
      <c r="B848" s="72" t="inlineStr">
        <is>
          <t>Culture &amp; Loisirs</t>
        </is>
      </c>
      <c r="C848" s="72" t="inlineStr">
        <is>
          <t>Sport</t>
        </is>
      </c>
      <c r="D848" s="73" t="n">
        <v>50</v>
      </c>
      <c r="E848" s="73" t="inlineStr">
        <is>
          <t>N</t>
        </is>
      </c>
      <c r="F848" s="72" t="inlineStr">
        <is>
          <t>Média de service public, la couverture sportive est neutre et factuelle.</t>
        </is>
      </c>
      <c r="G848" s="73" t="inlineStr">
        <is>
          <t>Non</t>
        </is>
      </c>
      <c r="H848" s="72" t="n"/>
      <c r="I848" s="73" t="n">
        <v>0</v>
      </c>
      <c r="J848" s="73" t="n">
        <v>10</v>
      </c>
      <c r="K848" s="74">
        <f>IFERROR(I848/J848,0)</f>
        <v/>
      </c>
      <c r="L848" s="73" t="n">
        <v>12</v>
      </c>
      <c r="M848" s="73" t="n">
        <v>4917</v>
      </c>
      <c r="N848" s="73" t="n">
        <v>0</v>
      </c>
      <c r="O848" s="72" t="inlineStr">
        <is>
          <t>Image_Carrousel</t>
        </is>
      </c>
    </row>
    <row r="849" ht="13.5" customHeight="1" s="109">
      <c r="A849" s="35" t="inlineStr">
        <is>
          <t>https://www.instagram.com/p/DTsXLVugh16/</t>
        </is>
      </c>
      <c r="B849" s="35" t="inlineStr">
        <is>
          <t>Environnement &amp; Nature</t>
        </is>
      </c>
      <c r="C849" s="35" t="inlineStr">
        <is>
          <t>Climat / Ecologie</t>
        </is>
      </c>
      <c r="D849" s="36" t="n">
        <v>40</v>
      </c>
      <c r="E849" s="36" t="inlineStr">
        <is>
          <t>N</t>
        </is>
      </c>
      <c r="F849" s="35" t="inlineStr">
        <is>
          <t>RTS rapporte une étude Greenpeace critiquant l'impact environnemental des jets privés au WEF.</t>
        </is>
      </c>
      <c r="G849" s="36" t="inlineStr">
        <is>
          <t>Non</t>
        </is>
      </c>
      <c r="H849" s="35" t="n"/>
      <c r="I849" s="36" t="n">
        <v>0</v>
      </c>
      <c r="J849" s="36" t="n">
        <v>5</v>
      </c>
      <c r="K849" s="74">
        <f>IFERROR(I849/J849,0)</f>
        <v/>
      </c>
      <c r="L849" s="36" t="n">
        <v>89</v>
      </c>
      <c r="M849" s="36" t="n">
        <v>5311</v>
      </c>
      <c r="N849" s="36" t="n">
        <v>0</v>
      </c>
      <c r="O849" s="35" t="inlineStr">
        <is>
          <t>Image_Carrousel</t>
        </is>
      </c>
    </row>
    <row r="850" ht="13.5" customHeight="1" s="109">
      <c r="A850" s="72" t="inlineStr">
        <is>
          <t>https://www.instagram.com/p/DTpkrFUAmq0/</t>
        </is>
      </c>
      <c r="B850" s="72" t="inlineStr">
        <is>
          <t>Culture &amp; Loisirs</t>
        </is>
      </c>
      <c r="C850" s="72" t="inlineStr">
        <is>
          <t>Sport</t>
        </is>
      </c>
      <c r="D850" s="73" t="n">
        <v>50</v>
      </c>
      <c r="E850" s="73" t="inlineStr">
        <is>
          <t>N</t>
        </is>
      </c>
      <c r="F850" s="72" t="inlineStr">
        <is>
          <t>Rapport factuel et neutre sur un match de football, sans prise de position.</t>
        </is>
      </c>
      <c r="G850" s="73" t="inlineStr">
        <is>
          <t>Non</t>
        </is>
      </c>
      <c r="H850" s="72" t="inlineStr">
        <is>
          <t>Aucune critique du média dans les commentaires.</t>
        </is>
      </c>
      <c r="I850" s="73" t="n">
        <v>0</v>
      </c>
      <c r="J850" s="73" t="n">
        <v>3</v>
      </c>
      <c r="K850" s="74">
        <f>IFERROR(I850/J850,0)</f>
        <v/>
      </c>
      <c r="L850" s="73" t="n">
        <v>3</v>
      </c>
      <c r="M850" s="73" t="n">
        <v>2336</v>
      </c>
      <c r="N850" s="73" t="n">
        <v>0</v>
      </c>
      <c r="O850" s="72" t="inlineStr">
        <is>
          <t>Image_Carrousel</t>
        </is>
      </c>
    </row>
    <row r="851" ht="13.5" customHeight="1" s="109">
      <c r="A851" s="35" t="inlineStr">
        <is>
          <t>https://www.instagram.com/p/DTs2BEagBqe/</t>
        </is>
      </c>
      <c r="B851" s="35" t="inlineStr">
        <is>
          <t>Culture &amp; Loisirs</t>
        </is>
      </c>
      <c r="C851" s="35" t="inlineStr">
        <is>
          <t>Arts</t>
        </is>
      </c>
      <c r="D851" s="36" t="n">
        <v>50</v>
      </c>
      <c r="E851" s="36" t="inlineStr">
        <is>
          <t>N</t>
        </is>
      </c>
      <c r="F851" s="35" t="inlineStr">
        <is>
          <t>Rapport factuel et neutre sur le décès d'une figure reconnue de la mode.</t>
        </is>
      </c>
      <c r="G851" s="36" t="inlineStr">
        <is>
          <t>Non</t>
        </is>
      </c>
      <c r="H851" s="35" t="inlineStr">
        <is>
          <t>Aucun reproche au média dans les commentaires.</t>
        </is>
      </c>
      <c r="I851" s="36" t="n">
        <v>0</v>
      </c>
      <c r="J851" s="36" t="n">
        <v>10</v>
      </c>
      <c r="K851" s="74">
        <f>IFERROR(I851/J851,0)</f>
        <v/>
      </c>
      <c r="L851" s="36" t="n">
        <v>30</v>
      </c>
      <c r="M851" s="36" t="n">
        <v>8699</v>
      </c>
      <c r="N851" s="36" t="n">
        <v>0</v>
      </c>
      <c r="O851" s="35" t="inlineStr">
        <is>
          <t>Image_Carrousel</t>
        </is>
      </c>
    </row>
    <row r="852" ht="13.5" customHeight="1" s="109">
      <c r="A852" s="72" t="inlineStr">
        <is>
          <t>https://www.instagram.com/p/DTsJR6VDzM1/</t>
        </is>
      </c>
      <c r="B852" s="72" t="inlineStr">
        <is>
          <t>Culture &amp; Loisirs</t>
        </is>
      </c>
      <c r="C852" s="72" t="inlineStr">
        <is>
          <t>Sport</t>
        </is>
      </c>
      <c r="D852" s="73" t="n">
        <v>40</v>
      </c>
      <c r="E852" s="73" t="inlineStr">
        <is>
          <t>G</t>
        </is>
      </c>
      <c r="F852" s="72" t="inlineStr">
        <is>
          <t>Média public suisse, réputé neutre à centre-gauche dans son traitement de l'info.</t>
        </is>
      </c>
      <c r="G852" s="73" t="inlineStr">
        <is>
          <t>Non</t>
        </is>
      </c>
      <c r="H852" s="72" t="inlineStr">
        <is>
          <t>Aucune critique concernant le biais, le ton ou le choix du sujet.</t>
        </is>
      </c>
      <c r="I852" s="73" t="n">
        <v>0</v>
      </c>
      <c r="J852" s="73" t="n">
        <v>10</v>
      </c>
      <c r="K852" s="74">
        <f>IFERROR(I852/J852,0)</f>
        <v/>
      </c>
      <c r="L852" s="73" t="n">
        <v>24</v>
      </c>
      <c r="M852" s="73" t="n">
        <v>6993</v>
      </c>
      <c r="N852" s="73" t="n">
        <v>0</v>
      </c>
      <c r="O852" s="72" t="inlineStr">
        <is>
          <t>Image_Carrousel</t>
        </is>
      </c>
    </row>
    <row r="853" ht="13.5" customHeight="1" s="109">
      <c r="A853" s="35" t="inlineStr">
        <is>
          <t>https://www.instagram.com/p/DTqN4NBDAOQ/</t>
        </is>
      </c>
      <c r="B853" s="35" t="inlineStr">
        <is>
          <t>Securite &amp; Justice</t>
        </is>
      </c>
      <c r="C853" s="35" t="inlineStr">
        <is>
          <t>Justice</t>
        </is>
      </c>
      <c r="D853" s="36" t="n">
        <v>55</v>
      </c>
      <c r="E853" s="36" t="inlineStr">
        <is>
          <t>N</t>
        </is>
      </c>
      <c r="F853" s="35" t="inlineStr">
        <is>
          <t>Média de service public, enquête sur une affaire judiciaire, souvent perçu comme neutre.</t>
        </is>
      </c>
      <c r="G853" s="36" t="inlineStr">
        <is>
          <t>Oui</t>
        </is>
      </c>
      <c r="H853" s="35" t="inlineStr">
        <is>
          <t>Remise en question du cadrage du sujet et omissions perçues.</t>
        </is>
      </c>
      <c r="I853" s="36" t="n">
        <v>2</v>
      </c>
      <c r="J853" s="36" t="n">
        <v>7</v>
      </c>
      <c r="K853" s="74">
        <f>IFERROR(I853/J853,0)</f>
        <v/>
      </c>
      <c r="L853" s="36" t="n">
        <v>149</v>
      </c>
      <c r="M853" s="36" t="n">
        <v>3288</v>
      </c>
      <c r="N853" s="36" t="n">
        <v>97563</v>
      </c>
      <c r="O853" s="35" t="inlineStr">
        <is>
          <t>Video</t>
        </is>
      </c>
    </row>
    <row r="854" ht="13.5" customHeight="1" s="109">
      <c r="A854" s="72" t="inlineStr">
        <is>
          <t>https://www.instagram.com/p/DTpmcDbjfmd/</t>
        </is>
      </c>
      <c r="B854" s="72" t="inlineStr">
        <is>
          <t>Securite &amp; Justice</t>
        </is>
      </c>
      <c r="C854" s="72" t="inlineStr">
        <is>
          <t>Ordre public</t>
        </is>
      </c>
      <c r="D854" s="73" t="n">
        <v>45</v>
      </c>
      <c r="E854" s="73" t="inlineStr">
        <is>
          <t>N</t>
        </is>
      </c>
      <c r="F854" s="72" t="inlineStr">
        <is>
          <t>Enquête de service public explorant lien vol-drogue, police, cherchant des explications.</t>
        </is>
      </c>
      <c r="G854" s="73" t="inlineStr">
        <is>
          <t>Non</t>
        </is>
      </c>
      <c r="H854" s="72" t="n"/>
      <c r="I854" s="73" t="n">
        <v>0</v>
      </c>
      <c r="J854" s="73" t="n">
        <v>8</v>
      </c>
      <c r="K854" s="74">
        <f>IFERROR(I854/J854,0)</f>
        <v/>
      </c>
      <c r="L854" s="73" t="n">
        <v>84</v>
      </c>
      <c r="M854" s="73" t="n">
        <v>2539</v>
      </c>
      <c r="N854" s="73" t="n">
        <v>45683</v>
      </c>
      <c r="O854" s="72" t="inlineStr">
        <is>
          <t>Video</t>
        </is>
      </c>
    </row>
    <row r="855" ht="13.5" customHeight="1" s="109">
      <c r="A855" s="35" t="inlineStr">
        <is>
          <t>https://www.instagram.com/p/DTskro9jFI8/</t>
        </is>
      </c>
      <c r="B855" s="35" t="inlineStr">
        <is>
          <t>Securite &amp; Justice</t>
        </is>
      </c>
      <c r="C855" s="35" t="inlineStr">
        <is>
          <t>Justice</t>
        </is>
      </c>
      <c r="D855" s="36" t="n">
        <v>45</v>
      </c>
      <c r="E855" s="36" t="inlineStr">
        <is>
          <t>N</t>
        </is>
      </c>
      <c r="F855" s="35" t="inlineStr">
        <is>
          <t>Reportage factuel sur un développement judiciaire, RTS est un média de service public.</t>
        </is>
      </c>
      <c r="G855" s="36" t="inlineStr">
        <is>
          <t>Non</t>
        </is>
      </c>
      <c r="H855" s="35" t="n"/>
      <c r="I855" s="36" t="n">
        <v>0</v>
      </c>
      <c r="J855" s="36" t="n">
        <v>5</v>
      </c>
      <c r="K855" s="74">
        <f>IFERROR(I855/J855,0)</f>
        <v/>
      </c>
      <c r="L855" s="36" t="n">
        <v>255</v>
      </c>
      <c r="M855" s="36" t="n">
        <v>5366</v>
      </c>
      <c r="N855" s="36" t="n">
        <v>0</v>
      </c>
      <c r="O855" s="35" t="inlineStr">
        <is>
          <t>Image_Carrousel</t>
        </is>
      </c>
    </row>
    <row r="856" ht="13.5" customHeight="1" s="109">
      <c r="A856" s="72" t="inlineStr">
        <is>
          <t>https://www.instagram.com/p/DTqUtFojccJ/</t>
        </is>
      </c>
      <c r="B856" s="72" t="inlineStr">
        <is>
          <t>Societe &amp; Droits</t>
        </is>
      </c>
      <c r="C856" s="72" t="inlineStr">
        <is>
          <t>Faits de societe</t>
        </is>
      </c>
      <c r="D856" s="73" t="n">
        <v>40</v>
      </c>
      <c r="E856" s="73" t="inlineStr">
        <is>
          <t>G</t>
        </is>
      </c>
      <c r="F856" s="72" t="inlineStr">
        <is>
          <t>Média public, ton neutre et factuel, usage écriture inclusive.</t>
        </is>
      </c>
      <c r="G856" s="73" t="inlineStr">
        <is>
          <t>Non</t>
        </is>
      </c>
      <c r="H856" s="72" t="n"/>
      <c r="I856" s="73" t="n">
        <v>0</v>
      </c>
      <c r="J856" s="73" t="n">
        <v>7</v>
      </c>
      <c r="K856" s="74">
        <f>IFERROR(I856/J856,0)</f>
        <v/>
      </c>
      <c r="L856" s="73" t="n">
        <v>26</v>
      </c>
      <c r="M856" s="73" t="n">
        <v>5398</v>
      </c>
      <c r="N856" s="73" t="n">
        <v>0</v>
      </c>
      <c r="O856" s="72" t="inlineStr">
        <is>
          <t>Image_Carrousel</t>
        </is>
      </c>
    </row>
    <row r="857" ht="13.5" customHeight="1" s="109">
      <c r="A857" s="35" t="inlineStr">
        <is>
          <t>https://www.instagram.com/p/DTprfwzFBSn/</t>
        </is>
      </c>
      <c r="B857" s="35" t="inlineStr">
        <is>
          <t>Environnement &amp; Nature</t>
        </is>
      </c>
      <c r="C857" s="35" t="inlineStr">
        <is>
          <t>Climat / Ecologie</t>
        </is>
      </c>
      <c r="D857" s="36" t="n">
        <v>40</v>
      </c>
      <c r="E857" s="36" t="inlineStr">
        <is>
          <t>N</t>
        </is>
      </c>
      <c r="F857" s="35" t="inlineStr">
        <is>
          <t>Reportage factuel sur une innovation écologique et santé, ton neutre et informatif.</t>
        </is>
      </c>
      <c r="G857" s="36" t="inlineStr">
        <is>
          <t>Non</t>
        </is>
      </c>
      <c r="H857" s="35" t="inlineStr">
        <is>
          <t>Aucun commentaire ne critique le média (biais, ton, choix du sujet).</t>
        </is>
      </c>
      <c r="I857" s="36" t="n">
        <v>0</v>
      </c>
      <c r="J857" s="36" t="n">
        <v>4</v>
      </c>
      <c r="K857" s="74">
        <f>IFERROR(I857/J857,0)</f>
        <v/>
      </c>
      <c r="L857" s="36" t="n">
        <v>36</v>
      </c>
      <c r="M857" s="36" t="n">
        <v>5596</v>
      </c>
      <c r="N857" s="36" t="n">
        <v>0</v>
      </c>
      <c r="O857" s="35" t="inlineStr">
        <is>
          <t>Image_Carrousel</t>
        </is>
      </c>
    </row>
    <row r="858" ht="13.5" customHeight="1" s="109">
      <c r="A858" s="72" t="inlineStr">
        <is>
          <t>https://www.instagram.com/p/DTpyZJ8DTUy/</t>
        </is>
      </c>
      <c r="B858" s="72" t="inlineStr">
        <is>
          <t>International</t>
        </is>
      </c>
      <c r="C858" s="72" t="inlineStr">
        <is>
          <t>Geopolitique</t>
        </is>
      </c>
      <c r="D858" s="73" t="n">
        <v>50</v>
      </c>
      <c r="E858" s="73" t="inlineStr">
        <is>
          <t>N</t>
        </is>
      </c>
      <c r="F858" s="72" t="inlineStr">
        <is>
          <t>Article factuel, présente arguments pour et contre sans biais apparent.</t>
        </is>
      </c>
      <c r="G858" s="73" t="inlineStr">
        <is>
          <t>Non</t>
        </is>
      </c>
      <c r="H858" s="72" t="n"/>
      <c r="I858" s="73" t="n">
        <v>0</v>
      </c>
      <c r="J858" s="73" t="n">
        <v>11</v>
      </c>
      <c r="K858" s="74">
        <f>IFERROR(I858/J858,0)</f>
        <v/>
      </c>
      <c r="L858" s="73" t="n">
        <v>154</v>
      </c>
      <c r="M858" s="73" t="n">
        <v>1729</v>
      </c>
      <c r="N858" s="73" t="n">
        <v>0</v>
      </c>
      <c r="O858" s="72" t="inlineStr">
        <is>
          <t>Image_Carrousel</t>
        </is>
      </c>
    </row>
    <row r="859" ht="13.5" customHeight="1" s="109">
      <c r="A859" s="35" t="inlineStr">
        <is>
          <t>https://www.instagram.com/p/DTrnLq3CUyq/</t>
        </is>
      </c>
      <c r="B859" s="35" t="inlineStr">
        <is>
          <t>Securite &amp; Justice</t>
        </is>
      </c>
      <c r="C859" s="35" t="inlineStr">
        <is>
          <t>Ordre public</t>
        </is>
      </c>
      <c r="D859" s="36" t="n">
        <v>45</v>
      </c>
      <c r="E859" s="36" t="inlineStr">
        <is>
          <t>N</t>
        </is>
      </c>
      <c r="F859" s="35" t="inlineStr">
        <is>
          <t>RTS, service public, sujet sociétal de prévention routière et éducation.</t>
        </is>
      </c>
      <c r="G859" s="36" t="inlineStr">
        <is>
          <t>Non</t>
        </is>
      </c>
      <c r="H859" s="35" t="n"/>
      <c r="I859" s="36" t="n">
        <v>0</v>
      </c>
      <c r="J859" s="36" t="n">
        <v>10</v>
      </c>
      <c r="K859" s="74">
        <f>IFERROR(I859/J859,0)</f>
        <v/>
      </c>
      <c r="L859" s="36" t="n">
        <v>19</v>
      </c>
      <c r="M859" s="36" t="n">
        <v>1890</v>
      </c>
      <c r="N859" s="36" t="n">
        <v>55213</v>
      </c>
      <c r="O859" s="35" t="inlineStr">
        <is>
          <t>Video</t>
        </is>
      </c>
    </row>
    <row r="860" ht="13.5" customHeight="1" s="109">
      <c r="A860" s="72" t="inlineStr">
        <is>
          <t>https://www.instagram.com/p/DTrgZ4Ojq11/</t>
        </is>
      </c>
      <c r="B860" s="72" t="inlineStr">
        <is>
          <t>Societe &amp; Droits</t>
        </is>
      </c>
      <c r="C860" s="72" t="inlineStr">
        <is>
          <t>Faits de societe</t>
        </is>
      </c>
      <c r="D860" s="73" t="n">
        <v>45</v>
      </c>
      <c r="E860" s="73" t="inlineStr">
        <is>
          <t>G</t>
        </is>
      </c>
      <c r="F860" s="72" t="inlineStr">
        <is>
          <t>RTS, service public, sujet social et solidaire; utilise écriture inclusive.</t>
        </is>
      </c>
      <c r="G860" s="73" t="inlineStr">
        <is>
          <t>Non</t>
        </is>
      </c>
      <c r="H860" s="72" t="n"/>
      <c r="I860" s="73" t="n">
        <v>0</v>
      </c>
      <c r="J860" s="73" t="n">
        <v>9</v>
      </c>
      <c r="K860" s="74">
        <f>IFERROR(I860/J860,0)</f>
        <v/>
      </c>
      <c r="L860" s="73" t="n">
        <v>40</v>
      </c>
      <c r="M860" s="73" t="n">
        <v>2165</v>
      </c>
      <c r="N860" s="73" t="n">
        <v>49724</v>
      </c>
      <c r="O860" s="72" t="inlineStr">
        <is>
          <t>Video</t>
        </is>
      </c>
    </row>
    <row r="861" ht="13.5" customHeight="1" s="109">
      <c r="A861" s="35" t="inlineStr">
        <is>
          <t>https://www.instagram.com/p/DTpaUxpDiIf/</t>
        </is>
      </c>
      <c r="B861" s="35" t="inlineStr">
        <is>
          <t>Economie &amp; Travail</t>
        </is>
      </c>
      <c r="C861" s="35" t="inlineStr">
        <is>
          <t>Consommation</t>
        </is>
      </c>
      <c r="D861" s="36" t="n">
        <v>40</v>
      </c>
      <c r="E861" s="36" t="inlineStr">
        <is>
          <t>N</t>
        </is>
      </c>
      <c r="F861" s="35" t="inlineStr">
        <is>
          <t>Média public suisse, réputé neutre avec légère tendance centriste-gauche.</t>
        </is>
      </c>
      <c r="G861" s="36" t="inlineStr">
        <is>
          <t>Non</t>
        </is>
      </c>
      <c r="H861" s="35" t="n"/>
      <c r="I861" s="36" t="n">
        <v>0</v>
      </c>
      <c r="J861" s="36" t="n">
        <v>8</v>
      </c>
      <c r="K861" s="74">
        <f>IFERROR(I861/J861,0)</f>
        <v/>
      </c>
      <c r="L861" s="36" t="n">
        <v>66</v>
      </c>
      <c r="M861" s="36" t="n">
        <v>4034</v>
      </c>
      <c r="N861" s="36" t="n">
        <v>0</v>
      </c>
      <c r="O861" s="35" t="inlineStr">
        <is>
          <t>Image_Carrousel</t>
        </is>
      </c>
    </row>
    <row r="862" ht="13.5" customHeight="1" s="109">
      <c r="A862" s="72" t="inlineStr">
        <is>
          <t>https://www.instagram.com/p/DTqwmCRglEW/</t>
        </is>
      </c>
      <c r="B862" s="72" t="inlineStr">
        <is>
          <t>Culture &amp; Loisirs</t>
        </is>
      </c>
      <c r="C862" s="72" t="inlineStr">
        <is>
          <t>Sport</t>
        </is>
      </c>
      <c r="D862" s="73" t="n">
        <v>50</v>
      </c>
      <c r="E862" s="73" t="inlineStr">
        <is>
          <t>N</t>
        </is>
      </c>
      <c r="F862" s="72" t="inlineStr">
        <is>
          <t>Reportage factuel sur un événement sportif avec polémique.</t>
        </is>
      </c>
      <c r="G862" s="73" t="inlineStr">
        <is>
          <t>Non</t>
        </is>
      </c>
      <c r="H862" s="72" t="n"/>
      <c r="I862" s="73" t="n">
        <v>0</v>
      </c>
      <c r="J862" s="73" t="n">
        <v>3</v>
      </c>
      <c r="K862" s="74">
        <f>IFERROR(I862/J862,0)</f>
        <v/>
      </c>
      <c r="L862" s="73" t="n">
        <v>158</v>
      </c>
      <c r="M862" s="73" t="n">
        <v>5931</v>
      </c>
      <c r="N862" s="73" t="n">
        <v>0</v>
      </c>
      <c r="O862" s="72" t="inlineStr">
        <is>
          <t>Image_Carrousel</t>
        </is>
      </c>
    </row>
    <row r="863" ht="13.5" customHeight="1" s="109">
      <c r="A863" s="35" t="inlineStr">
        <is>
          <t>https://www.instagram.com/p/DTqG9ChDRG0/</t>
        </is>
      </c>
      <c r="B863" s="35" t="inlineStr">
        <is>
          <t>International</t>
        </is>
      </c>
      <c r="C863" s="35" t="inlineStr">
        <is>
          <t>Conflits</t>
        </is>
      </c>
      <c r="D863" s="36" t="n">
        <v>50</v>
      </c>
      <c r="E863" s="36" t="inlineStr">
        <is>
          <t>N</t>
        </is>
      </c>
      <c r="F863" s="35" t="inlineStr">
        <is>
          <t>Média public suisse, vise la neutralité factuelle et l'information équilibrée.</t>
        </is>
      </c>
      <c r="G863" s="36" t="inlineStr">
        <is>
          <t>Non</t>
        </is>
      </c>
      <c r="H863" s="35" t="n"/>
      <c r="I863" s="36" t="n">
        <v>0</v>
      </c>
      <c r="J863" s="36" t="n">
        <v>6</v>
      </c>
      <c r="K863" s="74">
        <f>IFERROR(I863/J863,0)</f>
        <v/>
      </c>
      <c r="L863" s="36" t="n">
        <v>96</v>
      </c>
      <c r="M863" s="36" t="n">
        <v>1281</v>
      </c>
      <c r="N863" s="36" t="n">
        <v>0</v>
      </c>
      <c r="O863" s="35" t="inlineStr">
        <is>
          <t>Image_Carrousel</t>
        </is>
      </c>
    </row>
    <row r="864" ht="13.5" customHeight="1" s="109">
      <c r="A864" s="72" t="inlineStr">
        <is>
          <t>https://www.instagram.com/p/DTnpHtXAQQ_/</t>
        </is>
      </c>
      <c r="B864" s="72" t="inlineStr">
        <is>
          <t>Economie &amp; Travail</t>
        </is>
      </c>
      <c r="C864" s="72" t="inlineStr">
        <is>
          <t>Agriculture</t>
        </is>
      </c>
      <c r="D864" s="73" t="n">
        <v>50</v>
      </c>
      <c r="E864" s="73" t="inlineStr">
        <is>
          <t>N</t>
        </is>
      </c>
      <c r="F864" s="72" t="inlineStr">
        <is>
          <t>Rapportage factuel et neutre sur un événement agricole traditionnel suisse.</t>
        </is>
      </c>
      <c r="G864" s="73" t="inlineStr">
        <is>
          <t>Non</t>
        </is>
      </c>
      <c r="H864" s="72" t="n"/>
      <c r="I864" s="73" t="n">
        <v>0</v>
      </c>
      <c r="J864" s="73" t="n">
        <v>5</v>
      </c>
      <c r="K864" s="74">
        <f>IFERROR(I864/J864,0)</f>
        <v/>
      </c>
      <c r="L864" s="73" t="n">
        <v>5</v>
      </c>
      <c r="M864" s="73" t="n">
        <v>2061</v>
      </c>
      <c r="N864" s="73" t="n">
        <v>32660</v>
      </c>
      <c r="O864" s="72" t="inlineStr">
        <is>
          <t>Video</t>
        </is>
      </c>
    </row>
    <row r="865" ht="13.5" customHeight="1" s="109">
      <c r="A865" s="35" t="inlineStr">
        <is>
          <t>https://www.instagram.com/p/DTn2xDdAXee/</t>
        </is>
      </c>
      <c r="B865" s="35" t="inlineStr">
        <is>
          <t>Societe &amp; Droits</t>
        </is>
      </c>
      <c r="C865" s="35" t="inlineStr">
        <is>
          <t>Faits de societe</t>
        </is>
      </c>
      <c r="D865" s="36" t="n">
        <v>35</v>
      </c>
      <c r="E865" s="36" t="inlineStr">
        <is>
          <t>G</t>
        </is>
      </c>
      <c r="F865" s="35" t="inlineStr">
        <is>
          <t>Rend compte d'une protestation anti-capitaliste, donnant voix aux critiques du WEF et de l'inégalité.</t>
        </is>
      </c>
      <c r="G865" s="36" t="inlineStr">
        <is>
          <t>Oui</t>
        </is>
      </c>
      <c r="H865" s="35" t="inlineStr">
        <is>
          <t>Accusé d'étouffer la voix de la population en omettant un autre événement.</t>
        </is>
      </c>
      <c r="I865" s="36" t="n">
        <v>1</v>
      </c>
      <c r="J865" s="36" t="n">
        <v>6</v>
      </c>
      <c r="K865" s="74">
        <f>IFERROR(I865/J865,0)</f>
        <v/>
      </c>
      <c r="L865" s="36" t="n">
        <v>87</v>
      </c>
      <c r="M865" s="36" t="n">
        <v>4308</v>
      </c>
      <c r="N865" s="36" t="n">
        <v>0</v>
      </c>
      <c r="O865" s="35" t="inlineStr">
        <is>
          <t>Image_Carrousel</t>
        </is>
      </c>
    </row>
    <row r="866" ht="13.5" customHeight="1" s="109">
      <c r="A866" s="72" t="inlineStr">
        <is>
          <t>https://www.instagram.com/p/DTm_8PBCA2y/</t>
        </is>
      </c>
      <c r="B866" s="72" t="inlineStr">
        <is>
          <t>Environnement &amp; Nature</t>
        </is>
      </c>
      <c r="C866" s="72" t="inlineStr">
        <is>
          <t>Climat / Ecologie</t>
        </is>
      </c>
      <c r="D866" s="73" t="n">
        <v>45</v>
      </c>
      <c r="E866" s="73" t="inlineStr">
        <is>
          <t>N</t>
        </is>
      </c>
      <c r="F866" s="72" t="inlineStr">
        <is>
          <t>RTS présente un projet technologique vert innovant avec un ton factuel et engageant.</t>
        </is>
      </c>
      <c r="G866" s="73" t="inlineStr">
        <is>
          <t>Oui</t>
        </is>
      </c>
      <c r="H866" s="72" t="inlineStr">
        <is>
          <t>Le média relaie une affirmation sur l'hydrogène 'non-polluant' potentiellement trompeuse.</t>
        </is>
      </c>
      <c r="I866" s="73" t="n">
        <v>1</v>
      </c>
      <c r="J866" s="73" t="n">
        <v>5</v>
      </c>
      <c r="K866" s="74">
        <f>IFERROR(I866/J866,0)</f>
        <v/>
      </c>
      <c r="L866" s="73" t="n">
        <v>22</v>
      </c>
      <c r="M866" s="73" t="n">
        <v>959</v>
      </c>
      <c r="N866" s="73" t="n">
        <v>15361</v>
      </c>
      <c r="O866" s="72" t="inlineStr">
        <is>
          <t>Video</t>
        </is>
      </c>
    </row>
    <row r="867" ht="13.5" customHeight="1" s="109">
      <c r="A867" s="35" t="inlineStr">
        <is>
          <t>https://www.instagram.com/p/DTnNrkMAoUX/</t>
        </is>
      </c>
      <c r="B867" s="35" t="inlineStr">
        <is>
          <t>Securite &amp; Justice</t>
        </is>
      </c>
      <c r="C867" s="35" t="inlineStr">
        <is>
          <t>Activites de Police</t>
        </is>
      </c>
      <c r="D867" s="36" t="n">
        <v>50</v>
      </c>
      <c r="E867" s="36" t="inlineStr">
        <is>
          <t>N</t>
        </is>
      </c>
      <c r="F867" s="35" t="inlineStr">
        <is>
          <t>Média public, traitement factuel d'un fait divers, sans parti pris politique.</t>
        </is>
      </c>
      <c r="G867" s="36" t="inlineStr">
        <is>
          <t>Non</t>
        </is>
      </c>
      <c r="H867" s="35" t="n"/>
      <c r="I867" s="36" t="n">
        <v>0</v>
      </c>
      <c r="J867" s="36" t="n">
        <v>9</v>
      </c>
      <c r="K867" s="74">
        <f>IFERROR(I867/J867,0)</f>
        <v/>
      </c>
      <c r="L867" s="36" t="n">
        <v>18</v>
      </c>
      <c r="M867" s="36" t="n">
        <v>1138</v>
      </c>
      <c r="N867" s="36" t="n">
        <v>31402</v>
      </c>
      <c r="O867" s="35" t="inlineStr">
        <is>
          <t>Video</t>
        </is>
      </c>
    </row>
    <row r="868" ht="13.5" customHeight="1" s="109">
      <c r="A868" s="72" t="inlineStr">
        <is>
          <t>https://www.instagram.com/p/DTnGtGrCHTk/</t>
        </is>
      </c>
      <c r="B868" s="72" t="inlineStr">
        <is>
          <t>Sante</t>
        </is>
      </c>
      <c r="C868" s="72" t="inlineStr">
        <is>
          <t>Sante publique</t>
        </is>
      </c>
      <c r="D868" s="73" t="n">
        <v>45</v>
      </c>
      <c r="E868" s="73" t="inlineStr">
        <is>
          <t>N</t>
        </is>
      </c>
      <c r="F868" s="72" t="inlineStr">
        <is>
          <t>RTS relaie une alerte santé sur produits transformés, source écolo mais ton mesuré.</t>
        </is>
      </c>
      <c r="G868" s="73" t="inlineStr">
        <is>
          <t>Oui</t>
        </is>
      </c>
      <c r="H868" s="72" t="inlineStr">
        <is>
          <t>Journalisme critiqué pour manque de nuance et faible qualité d'investigation.</t>
        </is>
      </c>
      <c r="I868" s="73" t="n">
        <v>2</v>
      </c>
      <c r="J868" s="73" t="n">
        <v>7</v>
      </c>
      <c r="K868" s="74">
        <f>IFERROR(I868/J868,0)</f>
        <v/>
      </c>
      <c r="L868" s="73" t="n">
        <v>279</v>
      </c>
      <c r="M868" s="73" t="n">
        <v>4231</v>
      </c>
      <c r="N868" s="73" t="n">
        <v>0</v>
      </c>
      <c r="O868" s="72" t="inlineStr">
        <is>
          <t>Image_Carrousel</t>
        </is>
      </c>
    </row>
    <row r="869" ht="13.5" customHeight="1" s="109">
      <c r="A869" s="35" t="inlineStr">
        <is>
          <t>https://www.instagram.com/p/DTn9ymkk4dO/</t>
        </is>
      </c>
      <c r="B869" s="35" t="inlineStr">
        <is>
          <t>Sante</t>
        </is>
      </c>
      <c r="C869" s="35" t="inlineStr">
        <is>
          <t>Sante publique</t>
        </is>
      </c>
      <c r="D869" s="36" t="n">
        <v>45</v>
      </c>
      <c r="E869" s="36" t="inlineStr">
        <is>
          <t>N</t>
        </is>
      </c>
      <c r="F869" s="35" t="inlineStr">
        <is>
          <t>RTS explore une thérapie alternative avec nuance, présentant faits et encadrement légal.</t>
        </is>
      </c>
      <c r="G869" s="36" t="inlineStr">
        <is>
          <t>Non</t>
        </is>
      </c>
      <c r="H869" s="35" t="n"/>
      <c r="I869" s="36" t="n">
        <v>0</v>
      </c>
      <c r="J869" s="36" t="n">
        <v>4</v>
      </c>
      <c r="K869" s="74">
        <f>IFERROR(I869/J869,0)</f>
        <v/>
      </c>
      <c r="L869" s="36" t="n">
        <v>59</v>
      </c>
      <c r="M869" s="36" t="n">
        <v>2614</v>
      </c>
      <c r="N869" s="36" t="n">
        <v>61157</v>
      </c>
      <c r="O869" s="35" t="inlineStr">
        <is>
          <t>Video</t>
        </is>
      </c>
    </row>
    <row r="870" ht="13.5" customHeight="1" s="109">
      <c r="A870" s="72" t="inlineStr">
        <is>
          <t>https://www.instagram.com/p/DTna41pCfN2/</t>
        </is>
      </c>
      <c r="B870" s="72" t="inlineStr">
        <is>
          <t>Securite &amp; Justice</t>
        </is>
      </c>
      <c r="C870" s="72" t="inlineStr">
        <is>
          <t>Ordre public</t>
        </is>
      </c>
      <c r="D870" s="73" t="n">
        <v>40</v>
      </c>
      <c r="E870" s="73" t="inlineStr">
        <is>
          <t>N</t>
        </is>
      </c>
      <c r="F870" s="72" t="inlineStr">
        <is>
          <t>Média public rapporte témoignage sur manquements sécurité, mettant en lumière des failles.</t>
        </is>
      </c>
      <c r="G870" s="73" t="inlineStr">
        <is>
          <t>Non</t>
        </is>
      </c>
      <c r="H870" s="72" t="n"/>
      <c r="I870" s="73" t="n">
        <v>0</v>
      </c>
      <c r="J870" s="73" t="n">
        <v>4</v>
      </c>
      <c r="K870" s="74">
        <f>IFERROR(I870/J870,0)</f>
        <v/>
      </c>
      <c r="L870" s="73" t="n">
        <v>44</v>
      </c>
      <c r="M870" s="73" t="n">
        <v>4739</v>
      </c>
      <c r="N870" s="73" t="n">
        <v>0</v>
      </c>
      <c r="O870" s="72" t="inlineStr">
        <is>
          <t>Image_Carrousel</t>
        </is>
      </c>
    </row>
    <row r="871" ht="13.5" customHeight="1" s="109">
      <c r="A871" s="35" t="inlineStr">
        <is>
          <t>https://www.instagram.com/p/DTmkXPcjTQ3/</t>
        </is>
      </c>
      <c r="B871" s="35" t="inlineStr">
        <is>
          <t>Culture &amp; Loisirs</t>
        </is>
      </c>
      <c r="C871" s="35" t="inlineStr">
        <is>
          <t>Arts</t>
        </is>
      </c>
      <c r="D871" s="36" t="n">
        <v>50</v>
      </c>
      <c r="E871" s="36" t="inlineStr">
        <is>
          <t>N</t>
        </is>
      </c>
      <c r="F871" s="35" t="inlineStr">
        <is>
          <t>Public service média; présente faits et enjeux de l'IA de manière neutre et équilibrée.</t>
        </is>
      </c>
      <c r="G871" s="36" t="inlineStr">
        <is>
          <t>Non</t>
        </is>
      </c>
      <c r="H871" s="35" t="inlineStr">
        <is>
          <t>Aucune critique du média dans les commentaires.</t>
        </is>
      </c>
      <c r="I871" s="36" t="n">
        <v>0</v>
      </c>
      <c r="J871" s="36" t="n">
        <v>9</v>
      </c>
      <c r="K871" s="74">
        <f>IFERROR(I871/J871,0)</f>
        <v/>
      </c>
      <c r="L871" s="36" t="n">
        <v>18</v>
      </c>
      <c r="M871" s="36" t="n">
        <v>8412</v>
      </c>
      <c r="N871" s="36" t="n">
        <v>0</v>
      </c>
      <c r="O871" s="35" t="inlineStr">
        <is>
          <t>Image_Carrousel</t>
        </is>
      </c>
    </row>
    <row r="872" ht="13.5" customHeight="1" s="109">
      <c r="A872" s="72" t="inlineStr">
        <is>
          <t>https://www.instagram.com/p/DTnv5iaFu0m/</t>
        </is>
      </c>
      <c r="B872" s="72" t="inlineStr">
        <is>
          <t>Environnement &amp; Nature</t>
        </is>
      </c>
      <c r="C872" s="72" t="inlineStr">
        <is>
          <t>Climat / Ecologie</t>
        </is>
      </c>
      <c r="D872" s="73" t="n">
        <v>35</v>
      </c>
      <c r="E872" s="73" t="inlineStr">
        <is>
          <t>G</t>
        </is>
      </c>
      <c r="F872" s="72" t="inlineStr">
        <is>
          <t>Média public suisse, souvent perçu centre-gauche, promeut régulation environnementale.</t>
        </is>
      </c>
      <c r="G872" s="73" t="inlineStr">
        <is>
          <t>Non</t>
        </is>
      </c>
      <c r="H872" s="72" t="inlineStr">
        <is>
          <t>Aucune critique du média relevée.</t>
        </is>
      </c>
      <c r="I872" s="73" t="n">
        <v>0</v>
      </c>
      <c r="J872" s="73" t="n">
        <v>7</v>
      </c>
      <c r="K872" s="74">
        <f>IFERROR(I872/J872,0)</f>
        <v/>
      </c>
      <c r="L872" s="73" t="n">
        <v>21</v>
      </c>
      <c r="M872" s="73" t="n">
        <v>1767</v>
      </c>
      <c r="N872" s="73" t="n">
        <v>0</v>
      </c>
      <c r="O872" s="72" t="inlineStr">
        <is>
          <t>Image_Carrousel</t>
        </is>
      </c>
    </row>
    <row r="873" ht="13.5" customHeight="1" s="109">
      <c r="A873" s="35" t="inlineStr">
        <is>
          <t>https://www.instagram.com/p/DTm1h6rgeF3/</t>
        </is>
      </c>
      <c r="B873" s="35" t="inlineStr">
        <is>
          <t>Culture &amp; Loisirs</t>
        </is>
      </c>
      <c r="C873" s="35" t="inlineStr">
        <is>
          <t>Arts</t>
        </is>
      </c>
      <c r="D873" s="36" t="n">
        <v>55</v>
      </c>
      <c r="E873" s="36" t="inlineStr">
        <is>
          <t>N</t>
        </is>
      </c>
      <c r="F873" s="35" t="inlineStr">
        <is>
          <t>RTSinfo, média public suisse, présente une information neutre sur la culture.</t>
        </is>
      </c>
      <c r="G873" s="36" t="inlineStr">
        <is>
          <t>Non</t>
        </is>
      </c>
      <c r="H873" s="35" t="n"/>
      <c r="I873" s="36" t="n">
        <v>0</v>
      </c>
      <c r="J873" s="36" t="n">
        <v>6</v>
      </c>
      <c r="K873" s="74">
        <f>IFERROR(I873/J873,0)</f>
        <v/>
      </c>
      <c r="L873" s="36" t="n">
        <v>13</v>
      </c>
      <c r="M873" s="36" t="n">
        <v>6833</v>
      </c>
      <c r="N873" s="36" t="n">
        <v>0</v>
      </c>
      <c r="O873" s="35" t="inlineStr">
        <is>
          <t>Image_Carrousel</t>
        </is>
      </c>
    </row>
    <row r="874" ht="13.5" customHeight="1" s="109">
      <c r="A874" s="72" t="inlineStr">
        <is>
          <t>https://www.instagram.com/p/DTrtygjjrnY/</t>
        </is>
      </c>
      <c r="B874" s="72" t="inlineStr">
        <is>
          <t>Securite &amp; Justice</t>
        </is>
      </c>
      <c r="C874" s="72" t="inlineStr">
        <is>
          <t>Ordre public</t>
        </is>
      </c>
      <c r="D874" s="73" t="n">
        <v>48</v>
      </c>
      <c r="E874" s="73" t="inlineStr">
        <is>
          <t>N</t>
        </is>
      </c>
      <c r="F874" s="72" t="inlineStr">
        <is>
          <t>Reportage factuel sur un accident, citant les autorités et les bilans officiels.</t>
        </is>
      </c>
      <c r="G874" s="73" t="inlineStr">
        <is>
          <t>Oui</t>
        </is>
      </c>
      <c r="H874" s="72" t="inlineStr">
        <is>
          <t>Un commentaire questionne l'attention et couverture des cérémonies.</t>
        </is>
      </c>
      <c r="I874" s="73" t="n">
        <v>1</v>
      </c>
      <c r="J874" s="73" t="n">
        <v>9</v>
      </c>
      <c r="K874" s="74">
        <f>IFERROR(I874/J874,0)</f>
        <v/>
      </c>
      <c r="L874" s="73" t="n">
        <v>61</v>
      </c>
      <c r="M874" s="73" t="n">
        <v>6991</v>
      </c>
      <c r="N874" s="73" t="n">
        <v>0</v>
      </c>
      <c r="O874" s="72" t="inlineStr">
        <is>
          <t>Image_Carrousel</t>
        </is>
      </c>
    </row>
    <row r="875" ht="13.5" customHeight="1" s="109">
      <c r="A875" s="35" t="inlineStr">
        <is>
          <t>https://www.instagram.com/p/DTkQvIXEZco/</t>
        </is>
      </c>
      <c r="B875" s="35" t="inlineStr">
        <is>
          <t>Environnement &amp; Nature</t>
        </is>
      </c>
      <c r="C875" s="35" t="inlineStr">
        <is>
          <t>Climat / Ecologie</t>
        </is>
      </c>
      <c r="D875" s="36" t="n">
        <v>35</v>
      </c>
      <c r="E875" s="36" t="inlineStr">
        <is>
          <t>G</t>
        </is>
      </c>
      <c r="F875" s="35" t="inlineStr">
        <is>
          <t>Média public avec une couverture sensible aux enjeux environnementaux et sociaux.</t>
        </is>
      </c>
      <c r="G875" s="36" t="inlineStr">
        <is>
          <t>Oui</t>
        </is>
      </c>
      <c r="H875" s="35" t="inlineStr">
        <is>
          <t>Correction factuelle sur le temps des verbes.</t>
        </is>
      </c>
      <c r="I875" s="36" t="n">
        <v>1</v>
      </c>
      <c r="J875" s="36" t="n">
        <v>3</v>
      </c>
      <c r="K875" s="74">
        <f>IFERROR(I875/J875,0)</f>
        <v/>
      </c>
      <c r="L875" s="36" t="n">
        <v>3</v>
      </c>
      <c r="M875" s="36" t="n">
        <v>1817</v>
      </c>
      <c r="N875" s="36" t="n">
        <v>0</v>
      </c>
      <c r="O875" s="35" t="inlineStr">
        <is>
          <t>Image_Carrousel</t>
        </is>
      </c>
    </row>
    <row r="876" ht="13.5" customHeight="1" s="109">
      <c r="A876" s="72" t="inlineStr">
        <is>
          <t>https://www.instagram.com/p/DTkQv7PilVN/</t>
        </is>
      </c>
      <c r="B876" s="72" t="inlineStr">
        <is>
          <t>Societe &amp; Droits</t>
        </is>
      </c>
      <c r="C876" s="72" t="inlineStr">
        <is>
          <t>Faits de societe</t>
        </is>
      </c>
      <c r="D876" s="73" t="n">
        <v>50</v>
      </c>
      <c r="E876" s="73" t="inlineStr">
        <is>
          <t>N</t>
        </is>
      </c>
      <c r="F876" s="72" t="inlineStr">
        <is>
          <t>Article nuancé explorant richesse financière/immatérielle GenZ, équilibrant espoirs et défis sociaux.</t>
        </is>
      </c>
      <c r="G876" s="73" t="inlineStr">
        <is>
          <t>Oui</t>
        </is>
      </c>
      <c r="H876" s="72" t="inlineStr">
        <is>
          <t>Contenu jugé irréaliste, biaisé ou superficiel par l'audience.</t>
        </is>
      </c>
      <c r="I876" s="73" t="n">
        <v>5</v>
      </c>
      <c r="J876" s="73" t="n">
        <v>9</v>
      </c>
      <c r="K876" s="74">
        <f>IFERROR(I876/J876,0)</f>
        <v/>
      </c>
      <c r="L876" s="73" t="n">
        <v>324</v>
      </c>
      <c r="M876" s="73" t="n">
        <v>8756</v>
      </c>
      <c r="N876" s="73" t="n">
        <v>0</v>
      </c>
      <c r="O876" s="72" t="inlineStr">
        <is>
          <t>Image_Carrousel</t>
        </is>
      </c>
    </row>
    <row r="877" ht="13.5" customHeight="1" s="109">
      <c r="A877" s="35" t="inlineStr">
        <is>
          <t>https://www.instagram.com/p/DTpJKBIjvpW/</t>
        </is>
      </c>
      <c r="B877" s="35" t="inlineStr">
        <is>
          <t>Politique &amp; Institutions</t>
        </is>
      </c>
      <c r="C877" s="35" t="inlineStr">
        <is>
          <t>Votations</t>
        </is>
      </c>
      <c r="D877" s="36" t="n">
        <v>40</v>
      </c>
      <c r="E877" s="36" t="inlineStr">
        <is>
          <t>G</t>
        </is>
      </c>
      <c r="F877" s="35" t="inlineStr">
        <is>
          <t>Média public, met en avant les arguments des opposants à la réforme du service civil.</t>
        </is>
      </c>
      <c r="G877" s="36" t="inlineStr">
        <is>
          <t>Non</t>
        </is>
      </c>
      <c r="H877" s="35" t="n"/>
      <c r="I877" s="36" t="n">
        <v>0</v>
      </c>
      <c r="J877" s="36" t="n">
        <v>3</v>
      </c>
      <c r="K877" s="74">
        <f>IFERROR(I877/J877,0)</f>
        <v/>
      </c>
      <c r="L877" s="36" t="n">
        <v>73</v>
      </c>
      <c r="M877" s="36" t="n">
        <v>2582</v>
      </c>
      <c r="N877" s="36" t="n">
        <v>0</v>
      </c>
      <c r="O877" s="35" t="inlineStr">
        <is>
          <t>Image_Carrousel</t>
        </is>
      </c>
    </row>
    <row r="878" ht="13.5" customHeight="1" s="109">
      <c r="A878" s="72" t="inlineStr">
        <is>
          <t>https://www.instagram.com/p/DTkox7-jMH_/</t>
        </is>
      </c>
      <c r="B878" s="72" t="inlineStr">
        <is>
          <t>Societe &amp; Droits</t>
        </is>
      </c>
      <c r="C878" s="72" t="inlineStr">
        <is>
          <t>Education</t>
        </is>
      </c>
      <c r="D878" s="73" t="n">
        <v>40</v>
      </c>
      <c r="E878" s="73" t="inlineStr">
        <is>
          <t>N</t>
        </is>
      </c>
      <c r="F878" s="72" t="inlineStr">
        <is>
          <t>RTS, service public, utilise l'écriture inclusive, sujet de soutien social.</t>
        </is>
      </c>
      <c r="G878" s="73" t="inlineStr">
        <is>
          <t>Oui</t>
        </is>
      </c>
      <c r="H878" s="72" t="inlineStr">
        <is>
          <t>Manque de mention d'autres catégories d'élèves.</t>
        </is>
      </c>
      <c r="I878" s="73" t="n">
        <v>1</v>
      </c>
      <c r="J878" s="73" t="n">
        <v>10</v>
      </c>
      <c r="K878" s="74">
        <f>IFERROR(I878/J878,0)</f>
        <v/>
      </c>
      <c r="L878" s="73" t="n">
        <v>215</v>
      </c>
      <c r="M878" s="73" t="n">
        <v>23107</v>
      </c>
      <c r="N878" s="73" t="n">
        <v>0</v>
      </c>
      <c r="O878" s="72" t="inlineStr">
        <is>
          <t>Image_Carrousel</t>
        </is>
      </c>
    </row>
    <row r="879" ht="13.5" customHeight="1" s="109">
      <c r="A879" s="35" t="inlineStr">
        <is>
          <t>https://www.instagram.com/p/DTkiBkrEw7g/</t>
        </is>
      </c>
      <c r="B879" s="35" t="inlineStr">
        <is>
          <t>Economie &amp; Travail</t>
        </is>
      </c>
      <c r="C879" s="35" t="inlineStr">
        <is>
          <t>Consommation</t>
        </is>
      </c>
      <c r="D879" s="36" t="n">
        <v>50</v>
      </c>
      <c r="E879" s="36" t="inlineStr">
        <is>
          <t>N</t>
        </is>
      </c>
      <c r="F879" s="35" t="inlineStr">
        <is>
          <t>Média de service public suisse, vise la neutralité et l'information équilibrée.</t>
        </is>
      </c>
      <c r="G879" s="36" t="inlineStr">
        <is>
          <t>Oui</t>
        </is>
      </c>
      <c r="H879" s="35" t="inlineStr">
        <is>
          <t>Un commentaire questionne le choix du sujet face à une problématique sociale majeure.</t>
        </is>
      </c>
      <c r="I879" s="36" t="n">
        <v>1</v>
      </c>
      <c r="J879" s="36" t="n">
        <v>4</v>
      </c>
      <c r="K879" s="74">
        <f>IFERROR(I879/J879,0)</f>
        <v/>
      </c>
      <c r="L879" s="36" t="n">
        <v>7</v>
      </c>
      <c r="M879" s="36" t="n">
        <v>2659</v>
      </c>
      <c r="N879" s="36" t="n">
        <v>62748</v>
      </c>
      <c r="O879" s="35" t="inlineStr">
        <is>
          <t>Video</t>
        </is>
      </c>
    </row>
    <row r="880" ht="13.5" customHeight="1" s="109">
      <c r="A880" s="72" t="inlineStr">
        <is>
          <t>https://www.instagram.com/p/DTkbDLwCFYe/</t>
        </is>
      </c>
      <c r="B880" s="72" t="inlineStr">
        <is>
          <t>Securite &amp; Justice</t>
        </is>
      </c>
      <c r="C880" s="72" t="inlineStr">
        <is>
          <t>Justice</t>
        </is>
      </c>
      <c r="D880" s="73" t="n">
        <v>50</v>
      </c>
      <c r="E880" s="73" t="inlineStr">
        <is>
          <t>N</t>
        </is>
      </c>
      <c r="F880" s="72" t="inlineStr">
        <is>
          <t>L'article rapporte les faits d'une décision judiciaire sans biais apparent.</t>
        </is>
      </c>
      <c r="G880" s="73" t="inlineStr">
        <is>
          <t>Non</t>
        </is>
      </c>
      <c r="H880" s="72" t="n"/>
      <c r="I880" s="73" t="n">
        <v>0</v>
      </c>
      <c r="J880" s="73" t="n">
        <v>8</v>
      </c>
      <c r="K880" s="74">
        <f>IFERROR(I880/J880,0)</f>
        <v/>
      </c>
      <c r="L880" s="73" t="n">
        <v>84</v>
      </c>
      <c r="M880" s="73" t="n">
        <v>5193</v>
      </c>
      <c r="N880" s="73" t="n">
        <v>0</v>
      </c>
      <c r="O880" s="72" t="inlineStr">
        <is>
          <t>Image_Carrousel</t>
        </is>
      </c>
    </row>
    <row r="881" ht="13.5" customHeight="1" s="109">
      <c r="A881" s="35" t="inlineStr">
        <is>
          <t>https://www.instagram.com/p/DTj4tfxD6CX/</t>
        </is>
      </c>
      <c r="B881" s="35" t="inlineStr">
        <is>
          <t>Sante</t>
        </is>
      </c>
      <c r="C881" s="35" t="inlineStr">
        <is>
          <t>Sante publique</t>
        </is>
      </c>
      <c r="D881" s="36" t="n">
        <v>50</v>
      </c>
      <c r="E881" s="36" t="inlineStr">
        <is>
          <t>N</t>
        </is>
      </c>
      <c r="F881" s="35" t="inlineStr">
        <is>
          <t>RTS rapporte factuellement les recommandations de l'OMS sans prise de position éditoriale.</t>
        </is>
      </c>
      <c r="G881" s="36" t="inlineStr">
        <is>
          <t>Non</t>
        </is>
      </c>
      <c r="H881" s="35" t="inlineStr">
        <is>
          <t>Aucune critique directe du média dans les commentaires fournis.</t>
        </is>
      </c>
      <c r="I881" s="36" t="n">
        <v>0</v>
      </c>
      <c r="J881" s="36" t="n">
        <v>9</v>
      </c>
      <c r="K881" s="74">
        <f>IFERROR(I881/J881,0)</f>
        <v/>
      </c>
      <c r="L881" s="36" t="n">
        <v>44</v>
      </c>
      <c r="M881" s="36" t="n">
        <v>1881</v>
      </c>
      <c r="N881" s="36" t="n">
        <v>0</v>
      </c>
      <c r="O881" s="35" t="inlineStr">
        <is>
          <t>Image_Carrousel</t>
        </is>
      </c>
    </row>
    <row r="882" ht="13.5" customHeight="1" s="109">
      <c r="A882" s="72" t="inlineStr">
        <is>
          <t>https://www.instagram.com/p/DTlJZPdDosY/</t>
        </is>
      </c>
      <c r="B882" s="72" t="inlineStr">
        <is>
          <t>Securite &amp; Justice</t>
        </is>
      </c>
      <c r="C882" s="72" t="inlineStr">
        <is>
          <t>Ordre public</t>
        </is>
      </c>
      <c r="D882" s="73" t="n">
        <v>50</v>
      </c>
      <c r="E882" s="73" t="inlineStr">
        <is>
          <t>N</t>
        </is>
      </c>
      <c r="F882" s="72" t="inlineStr">
        <is>
          <t>Rapport factuel sur l'efficacité des secours et la réactivité des institutions.</t>
        </is>
      </c>
      <c r="G882" s="73" t="inlineStr">
        <is>
          <t>Oui</t>
        </is>
      </c>
      <c r="H882" s="72" t="inlineStr">
        <is>
          <t>Contenu jugé répétitif et questionnement sur la plausibilité des faits.</t>
        </is>
      </c>
      <c r="I882" s="73" t="n">
        <v>2</v>
      </c>
      <c r="J882" s="73" t="n">
        <v>6</v>
      </c>
      <c r="K882" s="74">
        <f>IFERROR(I882/J882,0)</f>
        <v/>
      </c>
      <c r="L882" s="73" t="n">
        <v>170</v>
      </c>
      <c r="M882" s="73" t="n">
        <v>22844</v>
      </c>
      <c r="N882" s="73" t="n">
        <v>308935</v>
      </c>
      <c r="O882" s="72" t="inlineStr">
        <is>
          <t>Video</t>
        </is>
      </c>
    </row>
    <row r="883" ht="13.5" customHeight="1" s="109">
      <c r="A883" s="35" t="inlineStr">
        <is>
          <t>https://www.instagram.com/p/DTkszqsjrHd/</t>
        </is>
      </c>
      <c r="B883" s="35" t="inlineStr">
        <is>
          <t>Securite &amp; Justice</t>
        </is>
      </c>
      <c r="C883" s="35" t="inlineStr">
        <is>
          <t>Justice</t>
        </is>
      </c>
      <c r="D883" s="36" t="n">
        <v>45</v>
      </c>
      <c r="E883" s="36" t="inlineStr">
        <is>
          <t>N</t>
        </is>
      </c>
      <c r="F883" s="35" t="inlineStr">
        <is>
          <t>RTS info, média public, ton factuel et objectif sur les faits juridiques.</t>
        </is>
      </c>
      <c r="G883" s="36" t="inlineStr">
        <is>
          <t>Oui</t>
        </is>
      </c>
      <c r="H883" s="35" t="inlineStr">
        <is>
          <t>Manque d'empathie perçu et ton accusé de complaisance envers les prévenus.</t>
        </is>
      </c>
      <c r="I883" s="36" t="n">
        <v>1</v>
      </c>
      <c r="J883" s="36" t="n">
        <v>6</v>
      </c>
      <c r="K883" s="74">
        <f>IFERROR(I883/J883,0)</f>
        <v/>
      </c>
      <c r="L883" s="36" t="n">
        <v>357</v>
      </c>
      <c r="M883" s="36" t="n">
        <v>12127</v>
      </c>
      <c r="N883" s="36" t="n">
        <v>0</v>
      </c>
      <c r="O883" s="35" t="inlineStr">
        <is>
          <t>Image_Carrousel</t>
        </is>
      </c>
    </row>
    <row r="884" ht="13.5" customHeight="1" s="109">
      <c r="A884" s="72" t="inlineStr">
        <is>
          <t>https://www.instagram.com/p/DTlLKsGCaJx/</t>
        </is>
      </c>
      <c r="B884" s="72" t="inlineStr">
        <is>
          <t>International</t>
        </is>
      </c>
      <c r="C884" s="72" t="inlineStr">
        <is>
          <t>Conflits</t>
        </is>
      </c>
      <c r="D884" s="73" t="n">
        <v>35</v>
      </c>
      <c r="E884" s="73" t="inlineStr">
        <is>
          <t>G</t>
        </is>
      </c>
      <c r="F884" s="72" t="inlineStr">
        <is>
          <t>Focus sur les violations israéliennes et préoccupations des ONG concernant l'annexion.</t>
        </is>
      </c>
      <c r="G884" s="73" t="inlineStr">
        <is>
          <t>Oui</t>
        </is>
      </c>
      <c r="H884" s="72" t="inlineStr">
        <is>
          <t>Accusation de biais pro-palestinien/anti-Israël.</t>
        </is>
      </c>
      <c r="I884" s="73" t="n">
        <v>1</v>
      </c>
      <c r="J884" s="73" t="n">
        <v>4</v>
      </c>
      <c r="K884" s="74">
        <f>IFERROR(I884/J884,0)</f>
        <v/>
      </c>
      <c r="L884" s="73" t="n">
        <v>100</v>
      </c>
      <c r="M884" s="73" t="n">
        <v>1246</v>
      </c>
      <c r="N884" s="73" t="n">
        <v>26090</v>
      </c>
      <c r="O884" s="72" t="inlineStr">
        <is>
          <t>Video</t>
        </is>
      </c>
    </row>
    <row r="885" ht="13.5" customHeight="1" s="109">
      <c r="A885" s="35" t="inlineStr">
        <is>
          <t>https://www.instagram.com/p/DTmdfsjk7-m/</t>
        </is>
      </c>
      <c r="B885" s="35" t="inlineStr">
        <is>
          <t>Societe &amp; Droits</t>
        </is>
      </c>
      <c r="C885" s="35" t="inlineStr">
        <is>
          <t>Faits de societe</t>
        </is>
      </c>
      <c r="D885" s="36" t="n">
        <v>40</v>
      </c>
      <c r="E885" s="36" t="inlineStr">
        <is>
          <t>N</t>
        </is>
      </c>
      <c r="F885" s="35" t="inlineStr">
        <is>
          <t>RTS informe sur un fait de société, montrant le débat autour des valeurs et la responsabilité.</t>
        </is>
      </c>
      <c r="G885" s="36" t="inlineStr">
        <is>
          <t>Non</t>
        </is>
      </c>
      <c r="H885" s="35" t="n"/>
      <c r="I885" s="36" t="n">
        <v>0</v>
      </c>
      <c r="J885" s="36" t="n">
        <v>5</v>
      </c>
      <c r="K885" s="74">
        <f>IFERROR(I885/J885,0)</f>
        <v/>
      </c>
      <c r="L885" s="36" t="n">
        <v>176</v>
      </c>
      <c r="M885" s="36" t="n">
        <v>1971</v>
      </c>
      <c r="N885" s="36" t="n">
        <v>0</v>
      </c>
      <c r="O885" s="35" t="inlineStr">
        <is>
          <t>Image_Carrousel</t>
        </is>
      </c>
    </row>
    <row r="886" ht="13.5" customHeight="1" s="109">
      <c r="A886" s="72" t="inlineStr">
        <is>
          <t>https://www.instagram.com/p/DTjx-xhD5OX/</t>
        </is>
      </c>
      <c r="B886" s="72" t="inlineStr">
        <is>
          <t>Culture &amp; Loisirs</t>
        </is>
      </c>
      <c r="C886" s="72" t="inlineStr">
        <is>
          <t>Medias</t>
        </is>
      </c>
      <c r="D886" s="73" t="n">
        <v>50</v>
      </c>
      <c r="E886" s="73" t="inlineStr">
        <is>
          <t>N</t>
        </is>
      </c>
      <c r="F886" s="72" t="inlineStr">
        <is>
          <t>Présente la technologie et les critiques sans prendre position nette.</t>
        </is>
      </c>
      <c r="G886" s="73" t="inlineStr">
        <is>
          <t>Non</t>
        </is>
      </c>
      <c r="H886" s="72" t="n"/>
      <c r="I886" s="73" t="n">
        <v>0</v>
      </c>
      <c r="J886" s="73" t="n">
        <v>9</v>
      </c>
      <c r="K886" s="74">
        <f>IFERROR(I886/J886,0)</f>
        <v/>
      </c>
      <c r="L886" s="73" t="n">
        <v>38</v>
      </c>
      <c r="M886" s="73" t="n">
        <v>1624</v>
      </c>
      <c r="N886" s="73" t="n">
        <v>75733</v>
      </c>
      <c r="O886" s="72" t="inlineStr">
        <is>
          <t>Video</t>
        </is>
      </c>
    </row>
    <row r="887" ht="13.5" customHeight="1" s="109">
      <c r="A887" s="35" t="inlineStr">
        <is>
          <t>https://www.instagram.com/p/DTh2POejPEb/</t>
        </is>
      </c>
      <c r="B887" s="35" t="inlineStr">
        <is>
          <t>Economie &amp; Travail</t>
        </is>
      </c>
      <c r="C887" s="35" t="inlineStr">
        <is>
          <t>Consommation</t>
        </is>
      </c>
      <c r="D887" s="36" t="n">
        <v>50</v>
      </c>
      <c r="E887" s="36" t="inlineStr">
        <is>
          <t>N</t>
        </is>
      </c>
      <c r="F887" s="35" t="inlineStr">
        <is>
          <t>RTS présente faits, excuses Nestlé et critiques ONG; ton équilibré.</t>
        </is>
      </c>
      <c r="G887" s="36" t="inlineStr">
        <is>
          <t>Oui</t>
        </is>
      </c>
      <c r="H887" s="35" t="inlineStr">
        <is>
          <t>Répétition de l'info, exagération du 'drame mondial'.</t>
        </is>
      </c>
      <c r="I887" s="36" t="n">
        <v>2</v>
      </c>
      <c r="J887" s="36" t="n">
        <v>9</v>
      </c>
      <c r="K887" s="74">
        <f>IFERROR(I887/J887,0)</f>
        <v/>
      </c>
      <c r="L887" s="36" t="n">
        <v>16</v>
      </c>
      <c r="M887" s="36" t="n">
        <v>1054</v>
      </c>
      <c r="N887" s="36" t="n">
        <v>0</v>
      </c>
      <c r="O887" s="35" t="inlineStr">
        <is>
          <t>Image_Carrousel</t>
        </is>
      </c>
    </row>
    <row r="888" ht="13.5" customHeight="1" s="109">
      <c r="A888" s="72" t="inlineStr">
        <is>
          <t>https://www.instagram.com/p/DTh2QzaDeA3/</t>
        </is>
      </c>
      <c r="B888" s="72" t="inlineStr">
        <is>
          <t>Culture &amp; Loisirs</t>
        </is>
      </c>
      <c r="C888" s="72" t="inlineStr">
        <is>
          <t>Arts</t>
        </is>
      </c>
      <c r="D888" s="73" t="n">
        <v>45</v>
      </c>
      <c r="E888" s="73" t="inlineStr">
        <is>
          <t>N</t>
        </is>
      </c>
      <c r="F888" s="72" t="inlineStr">
        <is>
          <t>Rapport factuel sur la récupération d'antiquités, citant autorités et UNESCO, ton neutre.</t>
        </is>
      </c>
      <c r="G888" s="73" t="inlineStr">
        <is>
          <t>Non</t>
        </is>
      </c>
      <c r="H888" s="72" t="n"/>
      <c r="I888" s="73" t="n">
        <v>0</v>
      </c>
      <c r="J888" s="73" t="n">
        <v>7</v>
      </c>
      <c r="K888" s="74">
        <f>IFERROR(I888/J888,0)</f>
        <v/>
      </c>
      <c r="L888" s="73" t="n">
        <v>13</v>
      </c>
      <c r="M888" s="73" t="n">
        <v>2463</v>
      </c>
      <c r="N888" s="73" t="n">
        <v>0</v>
      </c>
      <c r="O888" s="72" t="inlineStr">
        <is>
          <t>Image_Carrousel</t>
        </is>
      </c>
    </row>
    <row r="889" ht="13.5" customHeight="1" s="109">
      <c r="A889" s="35" t="inlineStr">
        <is>
          <t>https://www.instagram.com/p/DTh9If4gWbG/</t>
        </is>
      </c>
      <c r="B889" s="35" t="inlineStr">
        <is>
          <t>International</t>
        </is>
      </c>
      <c r="C889" s="35" t="inlineStr">
        <is>
          <t>Geopolitique</t>
        </is>
      </c>
      <c r="D889" s="36" t="n">
        <v>45</v>
      </c>
      <c r="E889" s="36" t="inlineStr">
        <is>
          <t>N</t>
        </is>
      </c>
      <c r="F889" s="35" t="inlineStr">
        <is>
          <t>RTS, service public, généralement perçu comme centriste-gauche en Suisse.</t>
        </is>
      </c>
      <c r="G889" s="36" t="inlineStr">
        <is>
          <t>Oui</t>
        </is>
      </c>
      <c r="H889" s="35" t="inlineStr">
        <is>
          <t>Biais présumé dans le traitement des actions des puissances occidentales.</t>
        </is>
      </c>
      <c r="I889" s="36" t="n">
        <v>1</v>
      </c>
      <c r="J889" s="36" t="n">
        <v>7</v>
      </c>
      <c r="K889" s="74">
        <f>IFERROR(I889/J889,0)</f>
        <v/>
      </c>
      <c r="L889" s="36" t="n">
        <v>28</v>
      </c>
      <c r="M889" s="36" t="n">
        <v>1574</v>
      </c>
      <c r="N889" s="36" t="n">
        <v>0</v>
      </c>
      <c r="O889" s="35" t="inlineStr">
        <is>
          <t>Image_Carrousel</t>
        </is>
      </c>
    </row>
    <row r="890" ht="13.5" customHeight="1" s="109">
      <c r="A890" s="72" t="inlineStr">
        <is>
          <t>https://www.instagram.com/p/DTiUxR0gJgr/</t>
        </is>
      </c>
      <c r="B890" s="72" t="inlineStr">
        <is>
          <t>Securite &amp; Justice</t>
        </is>
      </c>
      <c r="C890" s="72" t="inlineStr">
        <is>
          <t>Justice</t>
        </is>
      </c>
      <c r="D890" s="73" t="n">
        <v>30</v>
      </c>
      <c r="E890" s="73" t="inlineStr">
        <is>
          <t>G</t>
        </is>
      </c>
      <c r="F890" s="72" t="inlineStr">
        <is>
          <t>RTS, service public, met l'accent sur les défaillances de sécurité et la responsabilité.</t>
        </is>
      </c>
      <c r="G890" s="73" t="inlineStr">
        <is>
          <t>Non</t>
        </is>
      </c>
      <c r="H890" s="72" t="n"/>
      <c r="I890" s="73" t="n">
        <v>0</v>
      </c>
      <c r="J890" s="73" t="n">
        <v>7</v>
      </c>
      <c r="K890" s="74">
        <f>IFERROR(I890/J890,0)</f>
        <v/>
      </c>
      <c r="L890" s="73" t="n">
        <v>28</v>
      </c>
      <c r="M890" s="73" t="n">
        <v>3315</v>
      </c>
      <c r="N890" s="73" t="n">
        <v>0</v>
      </c>
      <c r="O890" s="72" t="inlineStr">
        <is>
          <t>Image_Carrousel</t>
        </is>
      </c>
    </row>
    <row r="891" ht="13.5" customHeight="1" s="109">
      <c r="A891" s="35" t="inlineStr">
        <is>
          <t>https://www.instagram.com/p/DTitLBkj2dU/</t>
        </is>
      </c>
      <c r="B891" s="35" t="inlineStr">
        <is>
          <t>Environnement &amp; Nature</t>
        </is>
      </c>
      <c r="C891" s="35" t="inlineStr">
        <is>
          <t>Climat / Ecologie</t>
        </is>
      </c>
      <c r="D891" s="36" t="n">
        <v>50</v>
      </c>
      <c r="E891" s="36" t="inlineStr">
        <is>
          <t>N</t>
        </is>
      </c>
      <c r="F891" s="35" t="inlineStr">
        <is>
          <t>RTS, service public, vise information équilibrée et factuelle sur la nature.</t>
        </is>
      </c>
      <c r="G891" s="36" t="inlineStr">
        <is>
          <t>Non</t>
        </is>
      </c>
      <c r="H891" s="35" t="n"/>
      <c r="I891" s="36" t="n">
        <v>0</v>
      </c>
      <c r="J891" s="36" t="n">
        <v>7</v>
      </c>
      <c r="K891" s="74">
        <f>IFERROR(I891/J891,0)</f>
        <v/>
      </c>
      <c r="L891" s="36" t="n">
        <v>8</v>
      </c>
      <c r="M891" s="36" t="n">
        <v>1819</v>
      </c>
      <c r="N891" s="36" t="n">
        <v>0</v>
      </c>
      <c r="O891" s="35" t="inlineStr">
        <is>
          <t>Image_Carrousel</t>
        </is>
      </c>
    </row>
    <row r="892" ht="13.5" customHeight="1" s="109">
      <c r="A892" s="72" t="inlineStr">
        <is>
          <t>https://www.instagram.com/p/DTlSAzVgckY/</t>
        </is>
      </c>
      <c r="B892" s="72" t="inlineStr">
        <is>
          <t>Environnement &amp; Nature</t>
        </is>
      </c>
      <c r="C892" s="72" t="inlineStr">
        <is>
          <t>Climat / Ecologie</t>
        </is>
      </c>
      <c r="D892" s="73" t="n">
        <v>40</v>
      </c>
      <c r="E892" s="73" t="inlineStr">
        <is>
          <t>N</t>
        </is>
      </c>
      <c r="F892" s="72" t="inlineStr">
        <is>
          <t>Média de service public, met en lumière une espèce menacée, sensibilisation environnementale.</t>
        </is>
      </c>
      <c r="G892" s="73" t="inlineStr">
        <is>
          <t>Non</t>
        </is>
      </c>
      <c r="H892" s="72" t="n"/>
      <c r="I892" s="73" t="n">
        <v>0</v>
      </c>
      <c r="J892" s="73" t="n">
        <v>4</v>
      </c>
      <c r="K892" s="74">
        <f>IFERROR(I892/J892,0)</f>
        <v/>
      </c>
      <c r="L892" s="73" t="n">
        <v>5</v>
      </c>
      <c r="M892" s="73" t="n">
        <v>2318</v>
      </c>
      <c r="N892" s="73" t="n">
        <v>0</v>
      </c>
      <c r="O892" s="72" t="inlineStr">
        <is>
          <t>Image_Carrousel</t>
        </is>
      </c>
    </row>
    <row r="893" ht="13.5" customHeight="1" s="109">
      <c r="A893" s="35" t="inlineStr">
        <is>
          <t>https://www.instagram.com/p/DTiYrgSF1Lx/</t>
        </is>
      </c>
      <c r="B893" s="35" t="inlineStr">
        <is>
          <t>International</t>
        </is>
      </c>
      <c r="C893" s="35" t="inlineStr">
        <is>
          <t>Geopolitique</t>
        </is>
      </c>
      <c r="D893" s="36" t="n">
        <v>50</v>
      </c>
      <c r="E893" s="36" t="inlineStr">
        <is>
          <t>N</t>
        </is>
      </c>
      <c r="F893" s="35" t="inlineStr">
        <is>
          <t>Public broadcaster, presents balanced expert views on international context.</t>
        </is>
      </c>
      <c r="G893" s="36" t="inlineStr">
        <is>
          <t>Oui</t>
        </is>
      </c>
      <c r="H893" s="35" t="inlineStr">
        <is>
          <t>Choix d'experts "minimalisant" la répression des Iraniens.</t>
        </is>
      </c>
      <c r="I893" s="36" t="n">
        <v>1</v>
      </c>
      <c r="J893" s="36" t="n">
        <v>7</v>
      </c>
      <c r="K893" s="74">
        <f>IFERROR(I893/J893,0)</f>
        <v/>
      </c>
      <c r="L893" s="36" t="n">
        <v>120</v>
      </c>
      <c r="M893" s="36" t="n">
        <v>3190</v>
      </c>
      <c r="N893" s="36" t="n">
        <v>0</v>
      </c>
      <c r="O893" s="35" t="inlineStr">
        <is>
          <t>Image_Carrousel</t>
        </is>
      </c>
    </row>
    <row r="894" ht="13.5" customHeight="1" s="109">
      <c r="A894" s="72" t="inlineStr">
        <is>
          <t>https://www.instagram.com/p/DTiEFzrDLD7/</t>
        </is>
      </c>
      <c r="B894" s="72" t="inlineStr">
        <is>
          <t>Culture &amp; Loisirs</t>
        </is>
      </c>
      <c r="C894" s="72" t="inlineStr">
        <is>
          <t>Arts</t>
        </is>
      </c>
      <c r="D894" s="73" t="n">
        <v>45</v>
      </c>
      <c r="E894" s="73" t="inlineStr">
        <is>
          <t>N</t>
        </is>
      </c>
      <c r="F894" s="72" t="inlineStr">
        <is>
          <t>RTSinfo est un média de service public, généralement neutre.</t>
        </is>
      </c>
      <c r="G894" s="73" t="inlineStr">
        <is>
          <t>Non</t>
        </is>
      </c>
      <c r="H894" s="72" t="n"/>
      <c r="I894" s="73" t="n">
        <v>0</v>
      </c>
      <c r="J894" s="73" t="n">
        <v>7</v>
      </c>
      <c r="K894" s="74">
        <f>IFERROR(I894/J894,0)</f>
        <v/>
      </c>
      <c r="L894" s="73" t="n">
        <v>37</v>
      </c>
      <c r="M894" s="73" t="n">
        <v>10071</v>
      </c>
      <c r="N894" s="73" t="n">
        <v>0</v>
      </c>
      <c r="O894" s="72" t="inlineStr">
        <is>
          <t>Image_Carrousel</t>
        </is>
      </c>
    </row>
    <row r="895" ht="13.5" customHeight="1" s="109">
      <c r="A895" s="35" t="inlineStr">
        <is>
          <t>https://www.instagram.com/p/DTifg-HDXcs/</t>
        </is>
      </c>
      <c r="B895" s="35" t="inlineStr">
        <is>
          <t>Sante</t>
        </is>
      </c>
      <c r="C895" s="35" t="inlineStr">
        <is>
          <t>Sante publique</t>
        </is>
      </c>
      <c r="D895" s="36" t="n">
        <v>45</v>
      </c>
      <c r="E895" s="36" t="inlineStr">
        <is>
          <t>N</t>
        </is>
      </c>
      <c r="F895" s="35" t="inlineStr">
        <is>
          <t>RTS est un média de service public, généralement neutre avec une légère tendance centriste-gauche.</t>
        </is>
      </c>
      <c r="G895" s="36" t="inlineStr">
        <is>
          <t>Non</t>
        </is>
      </c>
      <c r="H895" s="35" t="inlineStr">
        <is>
          <t>Aucun commentaire ne critique directement le média ou son traitement.</t>
        </is>
      </c>
      <c r="I895" s="36" t="n">
        <v>0</v>
      </c>
      <c r="J895" s="36" t="n">
        <v>5</v>
      </c>
      <c r="K895" s="74">
        <f>IFERROR(I895/J895,0)</f>
        <v/>
      </c>
      <c r="L895" s="36" t="n">
        <v>7</v>
      </c>
      <c r="M895" s="36" t="n">
        <v>3143</v>
      </c>
      <c r="N895" s="36" t="n">
        <v>95266</v>
      </c>
      <c r="O895" s="35" t="inlineStr">
        <is>
          <t>Video</t>
        </is>
      </c>
    </row>
    <row r="896" ht="13.5" customHeight="1" s="109">
      <c r="A896" s="72" t="inlineStr">
        <is>
          <t>https://www.instagram.com/p/DTiK298jd3p/</t>
        </is>
      </c>
      <c r="B896" s="72" t="inlineStr">
        <is>
          <t>Economie &amp; Travail</t>
        </is>
      </c>
      <c r="C896" s="72" t="inlineStr">
        <is>
          <t>Consommation</t>
        </is>
      </c>
      <c r="D896" s="73" t="n">
        <v>45</v>
      </c>
      <c r="E896" s="73" t="inlineStr">
        <is>
          <t>N</t>
        </is>
      </c>
      <c r="F896" s="72" t="inlineStr">
        <is>
          <t>RTS, service public, rapporte une enquête officielle sur les prix de Microsoft.</t>
        </is>
      </c>
      <c r="G896" s="73" t="inlineStr">
        <is>
          <t>Non</t>
        </is>
      </c>
      <c r="H896" s="72" t="n"/>
      <c r="I896" s="73" t="n">
        <v>0</v>
      </c>
      <c r="J896" s="73" t="n">
        <v>3</v>
      </c>
      <c r="K896" s="74">
        <f>IFERROR(I896/J896,0)</f>
        <v/>
      </c>
      <c r="L896" s="73" t="n">
        <v>73</v>
      </c>
      <c r="M896" s="73" t="n">
        <v>1835</v>
      </c>
      <c r="N896" s="73" t="n">
        <v>0</v>
      </c>
      <c r="O896" s="72" t="inlineStr">
        <is>
          <t>Image_Carrousel</t>
        </is>
      </c>
    </row>
    <row r="897" ht="13.5" customHeight="1" s="109">
      <c r="A897" s="35" t="inlineStr">
        <is>
          <t>https://www.instagram.com/p/DTimU-4iPNr/</t>
        </is>
      </c>
      <c r="B897" s="35" t="inlineStr">
        <is>
          <t>Environnement &amp; Nature</t>
        </is>
      </c>
      <c r="C897" s="35" t="inlineStr">
        <is>
          <t>Climat / Ecologie</t>
        </is>
      </c>
      <c r="D897" s="36" t="n">
        <v>45</v>
      </c>
      <c r="E897" s="36" t="inlineStr">
        <is>
          <t>N</t>
        </is>
      </c>
      <c r="F897" s="35" t="inlineStr">
        <is>
          <t>Média public, rapporte un fait objectif sur régulation environnementale avec impact positif.</t>
        </is>
      </c>
      <c r="G897" s="36" t="inlineStr">
        <is>
          <t>Non</t>
        </is>
      </c>
      <c r="H897" s="35" t="n"/>
      <c r="I897" s="36" t="n">
        <v>0</v>
      </c>
      <c r="J897" s="36" t="n">
        <v>6</v>
      </c>
      <c r="K897" s="74">
        <f>IFERROR(I897/J897,0)</f>
        <v/>
      </c>
      <c r="L897" s="36" t="n">
        <v>45</v>
      </c>
      <c r="M897" s="36" t="n">
        <v>3190</v>
      </c>
      <c r="N897" s="36" t="n">
        <v>0</v>
      </c>
      <c r="O897" s="35" t="inlineStr">
        <is>
          <t>Image_Carrousel</t>
        </is>
      </c>
    </row>
    <row r="898" ht="13.5" customHeight="1" s="109">
      <c r="A898" s="72" t="inlineStr">
        <is>
          <t>https://www.instagram.com/p/DTgIb4MjhJY/</t>
        </is>
      </c>
      <c r="B898" s="72" t="inlineStr">
        <is>
          <t>International</t>
        </is>
      </c>
      <c r="C898" s="72" t="inlineStr">
        <is>
          <t>Geopolitique</t>
        </is>
      </c>
      <c r="D898" s="73" t="n">
        <v>25</v>
      </c>
      <c r="E898" s="73" t="inlineStr">
        <is>
          <t>G</t>
        </is>
      </c>
      <c r="F898" s="72" t="inlineStr">
        <is>
          <t>Mise en lumière de la résistance face à une potentielle colonisation états-unienne.</t>
        </is>
      </c>
      <c r="G898" s="73" t="inlineStr">
        <is>
          <t>Non</t>
        </is>
      </c>
      <c r="H898" s="72" t="inlineStr">
        <is>
          <t>Aucune</t>
        </is>
      </c>
      <c r="I898" s="73" t="n">
        <v>0</v>
      </c>
      <c r="J898" s="73" t="n">
        <v>4</v>
      </c>
      <c r="K898" s="74">
        <f>IFERROR(I898/J898,0)</f>
        <v/>
      </c>
      <c r="L898" s="73" t="n">
        <v>96</v>
      </c>
      <c r="M898" s="73" t="n">
        <v>4461</v>
      </c>
      <c r="N898" s="73" t="n">
        <v>0</v>
      </c>
      <c r="O898" s="72" t="inlineStr">
        <is>
          <t>Image_Carrousel</t>
        </is>
      </c>
    </row>
    <row r="899" ht="13.5" customHeight="1" s="109">
      <c r="A899" s="35" t="inlineStr">
        <is>
          <t>https://www.instagram.com/p/DTfHKJ1Cb7I/</t>
        </is>
      </c>
      <c r="B899" s="35" t="inlineStr">
        <is>
          <t>Environnement &amp; Nature</t>
        </is>
      </c>
      <c r="C899" s="35" t="inlineStr">
        <is>
          <t>Climat / Ecologie</t>
        </is>
      </c>
      <c r="D899" s="36" t="n">
        <v>35</v>
      </c>
      <c r="E899" s="36" t="inlineStr">
        <is>
          <t>G</t>
        </is>
      </c>
      <c r="F899" s="35" t="inlineStr">
        <is>
          <t>Média de service public soulignant un problème environnemental lié au climat.</t>
        </is>
      </c>
      <c r="G899" s="36" t="inlineStr">
        <is>
          <t>Oui</t>
        </is>
      </c>
      <c r="H899" s="35" t="inlineStr">
        <is>
          <t>Reproche la fréquence des 'mauvaises nouvelles' environnementales.</t>
        </is>
      </c>
      <c r="I899" s="36" t="n">
        <v>1</v>
      </c>
      <c r="J899" s="36" t="n">
        <v>3</v>
      </c>
      <c r="K899" s="74">
        <f>IFERROR(I899/J899,0)</f>
        <v/>
      </c>
      <c r="L899" s="36" t="n">
        <v>30</v>
      </c>
      <c r="M899" s="36" t="n">
        <v>2566</v>
      </c>
      <c r="N899" s="36" t="n">
        <v>0</v>
      </c>
      <c r="O899" s="35" t="inlineStr">
        <is>
          <t>Image_Carrousel</t>
        </is>
      </c>
    </row>
    <row r="900" ht="13.5" customHeight="1" s="109">
      <c r="A900" s="72" t="inlineStr">
        <is>
          <t>https://www.instagram.com/p/DTfRciyjJWP/</t>
        </is>
      </c>
      <c r="B900" s="72" t="inlineStr">
        <is>
          <t>International</t>
        </is>
      </c>
      <c r="C900" s="72" t="inlineStr">
        <is>
          <t>Geopolitique</t>
        </is>
      </c>
      <c r="D900" s="73" t="n">
        <v>35</v>
      </c>
      <c r="E900" s="73" t="inlineStr">
        <is>
          <t>G</t>
        </is>
      </c>
      <c r="F900" s="72" t="inlineStr">
        <is>
          <t>Analyse critique des risques géopolitiques liés à la politique américaine et l'extrême droite.</t>
        </is>
      </c>
      <c r="G900" s="73" t="inlineStr">
        <is>
          <t>Oui</t>
        </is>
      </c>
      <c r="H900" s="72" t="inlineStr">
        <is>
          <t>Biais idéologique, manque de contexte, analyse simplifiée.</t>
        </is>
      </c>
      <c r="I900" s="73" t="n">
        <v>3</v>
      </c>
      <c r="J900" s="73" t="n">
        <v>7</v>
      </c>
      <c r="K900" s="74">
        <f>IFERROR(I900/J900,0)</f>
        <v/>
      </c>
      <c r="L900" s="73" t="n">
        <v>180</v>
      </c>
      <c r="M900" s="73" t="n">
        <v>5594</v>
      </c>
      <c r="N900" s="73" t="n">
        <v>0</v>
      </c>
      <c r="O900" s="72" t="inlineStr">
        <is>
          <t>Image_Carrousel</t>
        </is>
      </c>
    </row>
    <row r="901" ht="13.5" customHeight="1" s="109">
      <c r="A901" s="35" t="inlineStr">
        <is>
          <t>https://www.instagram.com/p/DTfmD9IjWYw/</t>
        </is>
      </c>
      <c r="B901" s="35" t="inlineStr">
        <is>
          <t>Environnement &amp; Nature</t>
        </is>
      </c>
      <c r="C901" s="35" t="inlineStr">
        <is>
          <t>Climat / Ecologie</t>
        </is>
      </c>
      <c r="D901" s="36" t="n">
        <v>45</v>
      </c>
      <c r="E901" s="36" t="inlineStr">
        <is>
          <t>N</t>
        </is>
      </c>
      <c r="F901" s="35" t="inlineStr">
        <is>
          <t>RTS, média public. Le ton factuel met en lumière l'urgence climatique et les enjeux politiques.</t>
        </is>
      </c>
      <c r="G901" s="36" t="inlineStr">
        <is>
          <t>Non</t>
        </is>
      </c>
      <c r="H901" s="35" t="n"/>
      <c r="I901" s="36" t="n">
        <v>0</v>
      </c>
      <c r="J901" s="36" t="n">
        <v>7</v>
      </c>
      <c r="K901" s="74">
        <f>IFERROR(I901/J901,0)</f>
        <v/>
      </c>
      <c r="L901" s="36" t="n">
        <v>20</v>
      </c>
      <c r="M901" s="36" t="n">
        <v>1607</v>
      </c>
      <c r="N901" s="36" t="n">
        <v>0</v>
      </c>
      <c r="O901" s="35" t="inlineStr">
        <is>
          <t>Image_Carrousel</t>
        </is>
      </c>
    </row>
    <row r="902" ht="13.5" customHeight="1" s="109">
      <c r="A902" s="72" t="inlineStr">
        <is>
          <t>https://www.instagram.com/p/DThuklwDE5N/</t>
        </is>
      </c>
      <c r="B902" s="72" t="inlineStr">
        <is>
          <t>Societe &amp; Droits</t>
        </is>
      </c>
      <c r="C902" s="72" t="inlineStr">
        <is>
          <t>Faits de societe</t>
        </is>
      </c>
      <c r="D902" s="73" t="n">
        <v>45</v>
      </c>
      <c r="E902" s="73" t="inlineStr">
        <is>
          <t>N</t>
        </is>
      </c>
      <c r="F902" s="72" t="inlineStr">
        <is>
          <t>RTS offre soutien psychologique après un drame, axé sur le bien-être des jeunes.</t>
        </is>
      </c>
      <c r="G902" s="73" t="inlineStr">
        <is>
          <t>Oui</t>
        </is>
      </c>
      <c r="H902" s="72" t="inlineStr">
        <is>
          <t>Critique du choix de mots et de l'absence de focus sur la justice.</t>
        </is>
      </c>
      <c r="I902" s="73" t="n">
        <v>2</v>
      </c>
      <c r="J902" s="73" t="n">
        <v>9</v>
      </c>
      <c r="K902" s="74">
        <f>IFERROR(I902/J902,0)</f>
        <v/>
      </c>
      <c r="L902" s="73" t="n">
        <v>29</v>
      </c>
      <c r="M902" s="73" t="n">
        <v>9047</v>
      </c>
      <c r="N902" s="73" t="n">
        <v>0</v>
      </c>
      <c r="O902" s="72" t="inlineStr">
        <is>
          <t>Image_Carrousel</t>
        </is>
      </c>
    </row>
    <row r="903" ht="13.5" customHeight="1" s="109">
      <c r="A903" s="35" t="inlineStr">
        <is>
          <t>https://www.instagram.com/p/DTffMNvjwUQ/</t>
        </is>
      </c>
      <c r="B903" s="35" t="inlineStr">
        <is>
          <t>Societe &amp; Droits</t>
        </is>
      </c>
      <c r="C903" s="35" t="inlineStr">
        <is>
          <t>Faits de societe</t>
        </is>
      </c>
      <c r="D903" s="36" t="n">
        <v>40</v>
      </c>
      <c r="E903" s="36" t="inlineStr">
        <is>
          <t>N</t>
        </is>
      </c>
      <c r="F903" s="35" t="inlineStr">
        <is>
          <t>Couverture informative d'une figure clé des droits civiques et sa marginalisation.</t>
        </is>
      </c>
      <c r="G903" s="36" t="inlineStr">
        <is>
          <t>Oui</t>
        </is>
      </c>
      <c r="H903" s="35" t="inlineStr">
        <is>
          <t>Implique un blanchiment historique dans le récit médiatisé.</t>
        </is>
      </c>
      <c r="I903" s="36" t="n">
        <v>1</v>
      </c>
      <c r="J903" s="36" t="n">
        <v>9</v>
      </c>
      <c r="K903" s="74">
        <f>IFERROR(I903/J903,0)</f>
        <v/>
      </c>
      <c r="L903" s="36" t="n">
        <v>22</v>
      </c>
      <c r="M903" s="36" t="n">
        <v>4696</v>
      </c>
      <c r="N903" s="36" t="n">
        <v>0</v>
      </c>
      <c r="O903" s="35" t="inlineStr">
        <is>
          <t>Image_Carrousel</t>
        </is>
      </c>
    </row>
    <row r="904" ht="13.5" customHeight="1" s="109">
      <c r="A904" s="72" t="inlineStr">
        <is>
          <t>https://www.instagram.com/p/DTk9iWdjIM4/</t>
        </is>
      </c>
      <c r="B904" s="72" t="inlineStr">
        <is>
          <t>Societe &amp; Droits</t>
        </is>
      </c>
      <c r="C904" s="72" t="inlineStr">
        <is>
          <t>Faits de societe</t>
        </is>
      </c>
      <c r="D904" s="73" t="n">
        <v>35</v>
      </c>
      <c r="E904" s="73" t="inlineStr">
        <is>
          <t>G</t>
        </is>
      </c>
      <c r="F904" s="72" t="inlineStr">
        <is>
          <t>Service public, diversité des sujets, inclusif sur les questions de genre.</t>
        </is>
      </c>
      <c r="G904" s="73" t="inlineStr">
        <is>
          <t>Oui</t>
        </is>
      </c>
      <c r="H904" s="72" t="inlineStr">
        <is>
          <t>Critique de la nouveauté ou pertinence des informations présentées.</t>
        </is>
      </c>
      <c r="I904" s="73" t="n">
        <v>3</v>
      </c>
      <c r="J904" s="73" t="n">
        <v>7</v>
      </c>
      <c r="K904" s="74">
        <f>IFERROR(I904/J904,0)</f>
        <v/>
      </c>
      <c r="L904" s="73" t="n">
        <v>52</v>
      </c>
      <c r="M904" s="73" t="n">
        <v>5939</v>
      </c>
      <c r="N904" s="73" t="n">
        <v>0</v>
      </c>
      <c r="O904" s="72" t="inlineStr">
        <is>
          <t>Image_Carrousel</t>
        </is>
      </c>
    </row>
    <row r="905" ht="13.5" customHeight="1" s="109">
      <c r="A905" s="35" t="inlineStr">
        <is>
          <t>https://www.instagram.com/p/DTf3NozDMEf/</t>
        </is>
      </c>
      <c r="B905" s="35" t="inlineStr">
        <is>
          <t>Politique &amp; Institutions</t>
        </is>
      </c>
      <c r="C905" s="35" t="inlineStr">
        <is>
          <t>Votations</t>
        </is>
      </c>
      <c r="D905" s="36" t="n">
        <v>50</v>
      </c>
      <c r="E905" s="36" t="inlineStr">
        <is>
          <t>N</t>
        </is>
      </c>
      <c r="F905" s="35" t="inlineStr">
        <is>
          <t>Factual report of initiative's arguments; no apparent editorial bias in given text.</t>
        </is>
      </c>
      <c r="G905" s="36" t="inlineStr">
        <is>
          <t>Non</t>
        </is>
      </c>
      <c r="H905" s="35" t="n"/>
      <c r="I905" s="36" t="n">
        <v>0</v>
      </c>
      <c r="J905" s="36" t="n">
        <v>7</v>
      </c>
      <c r="K905" s="74">
        <f>IFERROR(I905/J905,0)</f>
        <v/>
      </c>
      <c r="L905" s="36" t="n">
        <v>303</v>
      </c>
      <c r="M905" s="36" t="n">
        <v>3544</v>
      </c>
      <c r="N905" s="36" t="n">
        <v>0</v>
      </c>
      <c r="O905" s="35" t="inlineStr">
        <is>
          <t>Image_Carrousel</t>
        </is>
      </c>
    </row>
    <row r="906" ht="13.5" customHeight="1" s="109">
      <c r="A906" s="72" t="inlineStr">
        <is>
          <t>https://www.instagram.com/p/DTf6SS8jM0c/</t>
        </is>
      </c>
      <c r="B906" s="72" t="inlineStr">
        <is>
          <t>Societe &amp; Droits</t>
        </is>
      </c>
      <c r="C906" s="72" t="inlineStr">
        <is>
          <t>Faits de societe</t>
        </is>
      </c>
      <c r="D906" s="73" t="n">
        <v>45</v>
      </c>
      <c r="E906" s="73" t="inlineStr">
        <is>
          <t>N</t>
        </is>
      </c>
      <c r="F906" s="72" t="inlineStr">
        <is>
          <t>Média de service public, couvrant des faits de société divers.</t>
        </is>
      </c>
      <c r="G906" s="73" t="inlineStr">
        <is>
          <t>Oui</t>
        </is>
      </c>
      <c r="H906" s="72" t="inlineStr">
        <is>
          <t>Critique du ton et du langage jugé trop juvénile.</t>
        </is>
      </c>
      <c r="I906" s="73" t="n">
        <v>1</v>
      </c>
      <c r="J906" s="73" t="n">
        <v>6</v>
      </c>
      <c r="K906" s="74">
        <f>IFERROR(I906/J906,0)</f>
        <v/>
      </c>
      <c r="L906" s="73" t="n">
        <v>67</v>
      </c>
      <c r="M906" s="73" t="n">
        <v>1385</v>
      </c>
      <c r="N906" s="73" t="n">
        <v>0</v>
      </c>
      <c r="O906" s="72" t="inlineStr">
        <is>
          <t>Image_Carrousel</t>
        </is>
      </c>
    </row>
    <row r="907" ht="13.5" customHeight="1" s="109">
      <c r="A907" s="35" t="inlineStr">
        <is>
          <t>https://www.instagram.com/p/DTfYUA-jQPM/</t>
        </is>
      </c>
      <c r="B907" s="35" t="inlineStr">
        <is>
          <t>Sante</t>
        </is>
      </c>
      <c r="C907" s="35" t="inlineStr">
        <is>
          <t>Sante publique</t>
        </is>
      </c>
      <c r="D907" s="36" t="n">
        <v>40</v>
      </c>
      <c r="E907" s="36" t="inlineStr">
        <is>
          <t>N</t>
        </is>
      </c>
      <c r="F907" s="35" t="inlineStr">
        <is>
          <t>RTSinfo est un média de service public, rapportant un assouplissement réglementaire de manière factuelle.</t>
        </is>
      </c>
      <c r="G907" s="36" t="inlineStr">
        <is>
          <t>Non</t>
        </is>
      </c>
      <c r="H907" s="35" t="n"/>
      <c r="I907" s="36" t="n">
        <v>0</v>
      </c>
      <c r="J907" s="36" t="n">
        <v>6</v>
      </c>
      <c r="K907" s="74">
        <f>IFERROR(I907/J907,0)</f>
        <v/>
      </c>
      <c r="L907" s="36" t="n">
        <v>39</v>
      </c>
      <c r="M907" s="36" t="n">
        <v>5034</v>
      </c>
      <c r="N907" s="36" t="n">
        <v>0</v>
      </c>
      <c r="O907" s="35" t="inlineStr">
        <is>
          <t>Image_Carrousel</t>
        </is>
      </c>
    </row>
    <row r="908" ht="13.5" customHeight="1" s="109">
      <c r="A908" s="72" t="inlineStr">
        <is>
          <t>https://www.instagram.com/p/DTheeUBjlIF/</t>
        </is>
      </c>
      <c r="B908" s="72" t="inlineStr">
        <is>
          <t>Societe &amp; Droits</t>
        </is>
      </c>
      <c r="C908" s="72" t="inlineStr">
        <is>
          <t>Faits de societe</t>
        </is>
      </c>
      <c r="D908" s="73" t="n">
        <v>50</v>
      </c>
      <c r="E908" s="73" t="inlineStr">
        <is>
          <t>N</t>
        </is>
      </c>
      <c r="F908" s="72" t="inlineStr">
        <is>
          <t>RTS, média public suisse, vise l'objectivité et l'information factuelle sur l'actualité.</t>
        </is>
      </c>
      <c r="G908" s="73" t="inlineStr">
        <is>
          <t>Oui</t>
        </is>
      </c>
      <c r="H908" s="72" t="inlineStr">
        <is>
          <t>Le public reproche au media de ne pas nommer les vrais responsables (humains).</t>
        </is>
      </c>
      <c r="I908" s="73" t="n">
        <v>2</v>
      </c>
      <c r="J908" s="73" t="n">
        <v>5</v>
      </c>
      <c r="K908" s="74">
        <f>IFERROR(I908/J908,0)</f>
        <v/>
      </c>
      <c r="L908" s="73" t="n">
        <v>16</v>
      </c>
      <c r="M908" s="73" t="n">
        <v>812</v>
      </c>
      <c r="N908" s="73" t="n">
        <v>0</v>
      </c>
      <c r="O908" s="72" t="inlineStr">
        <is>
          <t>Image_Carrousel</t>
        </is>
      </c>
    </row>
    <row r="909" ht="13.5" customHeight="1" s="109">
      <c r="A909" s="35" t="inlineStr">
        <is>
          <t>https://www.instagram.com/p/DThT6YUjHrO/</t>
        </is>
      </c>
      <c r="B909" s="35" t="inlineStr">
        <is>
          <t>Societe &amp; Droits</t>
        </is>
      </c>
      <c r="C909" s="35" t="inlineStr">
        <is>
          <t>Faits de societe</t>
        </is>
      </c>
      <c r="D909" s="36" t="n">
        <v>40</v>
      </c>
      <c r="E909" s="36" t="inlineStr">
        <is>
          <t>N</t>
        </is>
      </c>
      <c r="F909" s="35" t="inlineStr">
        <is>
          <t>Média public, aborde les inégalités sociales et les relations humaines en temps de guerre.</t>
        </is>
      </c>
      <c r="G909" s="36" t="inlineStr">
        <is>
          <t>Oui</t>
        </is>
      </c>
      <c r="H909" s="35" t="inlineStr">
        <is>
          <t>Critique le choix du sujet ou son timing ('plus à la mode').</t>
        </is>
      </c>
      <c r="I909" s="36" t="n">
        <v>1</v>
      </c>
      <c r="J909" s="36" t="n">
        <v>8</v>
      </c>
      <c r="K909" s="74">
        <f>IFERROR(I909/J909,0)</f>
        <v/>
      </c>
      <c r="L909" s="36" t="n">
        <v>22</v>
      </c>
      <c r="M909" s="36" t="n">
        <v>1922</v>
      </c>
      <c r="N909" s="36" t="n">
        <v>0</v>
      </c>
      <c r="O909" s="35" t="inlineStr">
        <is>
          <t>Image_Carrousel</t>
        </is>
      </c>
    </row>
    <row r="910" ht="13.5" customHeight="1" s="109">
      <c r="A910" s="72" t="inlineStr">
        <is>
          <t>https://www.instagram.com/p/DTfzze8CS0E/</t>
        </is>
      </c>
      <c r="B910" s="72" t="inlineStr">
        <is>
          <t>Politique &amp; Institutions</t>
        </is>
      </c>
      <c r="C910" s="72" t="inlineStr">
        <is>
          <t>Autorites</t>
        </is>
      </c>
      <c r="D910" s="73" t="n">
        <v>45</v>
      </c>
      <c r="E910" s="73" t="inlineStr">
        <is>
          <t>N</t>
        </is>
      </c>
      <c r="F910" s="72" t="inlineStr">
        <is>
          <t>RTS, service public, visée de neutralité, légèrement perçu centre-gauche.</t>
        </is>
      </c>
      <c r="G910" s="73" t="inlineStr">
        <is>
          <t>Non</t>
        </is>
      </c>
      <c r="H910" s="72" t="inlineStr">
        <is>
          <t>Aucun commentaire ne critique le média.</t>
        </is>
      </c>
      <c r="I910" s="73" t="n">
        <v>0</v>
      </c>
      <c r="J910" s="73" t="n">
        <v>8</v>
      </c>
      <c r="K910" s="74">
        <f>IFERROR(I910/J910,0)</f>
        <v/>
      </c>
      <c r="L910" s="73" t="n">
        <v>78</v>
      </c>
      <c r="M910" s="73" t="n">
        <v>7788</v>
      </c>
      <c r="N910" s="73" t="n">
        <v>0</v>
      </c>
      <c r="O910" s="72" t="inlineStr">
        <is>
          <t>Image_Carrousel</t>
        </is>
      </c>
    </row>
    <row r="911" ht="13.5" customHeight="1" s="109">
      <c r="A911" s="35" t="inlineStr">
        <is>
          <t>https://www.instagram.com/p/DTc6--vgpKx/</t>
        </is>
      </c>
      <c r="B911" s="35" t="inlineStr">
        <is>
          <t>Culture &amp; Loisirs</t>
        </is>
      </c>
      <c r="C911" s="35" t="inlineStr">
        <is>
          <t>Sport</t>
        </is>
      </c>
      <c r="D911" s="36" t="n">
        <v>50</v>
      </c>
      <c r="E911" s="36" t="inlineStr">
        <is>
          <t>N</t>
        </is>
      </c>
      <c r="F911" s="35" t="inlineStr">
        <is>
          <t>Reporting factuel d'un exploit sportif par un média public.</t>
        </is>
      </c>
      <c r="G911" s="36" t="inlineStr">
        <is>
          <t>Non</t>
        </is>
      </c>
      <c r="H911" s="35" t="inlineStr">
        <is>
          <t>Aucune critique envers le média n'a été formulée.</t>
        </is>
      </c>
      <c r="I911" s="36" t="n">
        <v>0</v>
      </c>
      <c r="J911" s="36" t="n">
        <v>10</v>
      </c>
      <c r="K911" s="74">
        <f>IFERROR(I911/J911,0)</f>
        <v/>
      </c>
      <c r="L911" s="36" t="n">
        <v>12</v>
      </c>
      <c r="M911" s="36" t="n">
        <v>5717</v>
      </c>
      <c r="N911" s="36" t="n">
        <v>0</v>
      </c>
      <c r="O911" s="35" t="inlineStr">
        <is>
          <t>Image_Carrousel</t>
        </is>
      </c>
    </row>
    <row r="912" ht="13.5" customHeight="1" s="109">
      <c r="A912" s="72" t="inlineStr">
        <is>
          <t>https://www.instagram.com/p/DTczhj4Egcc/</t>
        </is>
      </c>
      <c r="B912" s="72" t="inlineStr">
        <is>
          <t>Societe &amp; Droits</t>
        </is>
      </c>
      <c r="C912" s="72" t="inlineStr">
        <is>
          <t>Faits de societe</t>
        </is>
      </c>
      <c r="D912" s="73" t="n">
        <v>50</v>
      </c>
      <c r="E912" s="73" t="inlineStr">
        <is>
          <t>N</t>
        </is>
      </c>
      <c r="F912" s="72" t="inlineStr">
        <is>
          <t>RTS, service public suisse, vise information neutre et factuelle, sans biais politique.</t>
        </is>
      </c>
      <c r="G912" s="73" t="inlineStr">
        <is>
          <t>Non</t>
        </is>
      </c>
      <c r="H912" s="72" t="n"/>
      <c r="I912" s="73" t="n">
        <v>0</v>
      </c>
      <c r="J912" s="73" t="n">
        <v>2</v>
      </c>
      <c r="K912" s="74">
        <f>IFERROR(I912/J912,0)</f>
        <v/>
      </c>
      <c r="L912" s="73" t="n">
        <v>49</v>
      </c>
      <c r="M912" s="73" t="n">
        <v>6613</v>
      </c>
      <c r="N912" s="73" t="n">
        <v>0</v>
      </c>
      <c r="O912" s="72" t="inlineStr">
        <is>
          <t>Image_Carrousel</t>
        </is>
      </c>
    </row>
    <row r="913" ht="13.5" customHeight="1" s="109">
      <c r="A913" s="35" t="inlineStr">
        <is>
          <t>https://www.instagram.com/p/DTdT2wijI4C/</t>
        </is>
      </c>
      <c r="B913" s="35" t="inlineStr">
        <is>
          <t>International</t>
        </is>
      </c>
      <c r="C913" s="35" t="inlineStr">
        <is>
          <t>Conflits</t>
        </is>
      </c>
      <c r="D913" s="36" t="n">
        <v>45</v>
      </c>
      <c r="E913" s="36" t="inlineStr">
        <is>
          <t>N</t>
        </is>
      </c>
      <c r="F913" s="35" t="inlineStr">
        <is>
          <t>RTSinfo rapporte les faits et met l'accent sur les droits humains et la violence gouvernementale.</t>
        </is>
      </c>
      <c r="G913" s="36" t="inlineStr">
        <is>
          <t>Oui</t>
        </is>
      </c>
      <c r="H913" s="35" t="inlineStr">
        <is>
          <t>Critique sur le nombre de victimes rapporté et implication médiatique.</t>
        </is>
      </c>
      <c r="I913" s="36" t="n">
        <v>5</v>
      </c>
      <c r="J913" s="36" t="n">
        <v>8</v>
      </c>
      <c r="K913" s="74">
        <f>IFERROR(I913/J913,0)</f>
        <v/>
      </c>
      <c r="L913" s="36" t="n">
        <v>237</v>
      </c>
      <c r="M913" s="36" t="n">
        <v>5494</v>
      </c>
      <c r="N913" s="36" t="n">
        <v>0</v>
      </c>
      <c r="O913" s="35" t="inlineStr">
        <is>
          <t>Image_Carrousel</t>
        </is>
      </c>
    </row>
    <row r="914" ht="13.5" customHeight="1" s="109">
      <c r="A914" s="72" t="inlineStr">
        <is>
          <t>https://www.instagram.com/p/DTevHxRjZM2/</t>
        </is>
      </c>
      <c r="B914" s="72" t="inlineStr">
        <is>
          <t>Politique &amp; Institutions</t>
        </is>
      </c>
      <c r="C914" s="72" t="inlineStr">
        <is>
          <t>Autorites</t>
        </is>
      </c>
      <c r="D914" s="73" t="n">
        <v>40</v>
      </c>
      <c r="E914" s="73" t="inlineStr">
        <is>
          <t>N</t>
        </is>
      </c>
      <c r="F914" s="72" t="inlineStr">
        <is>
          <t>RTS, service public, rapporte enquête factuelle sur bouclier fiscal, sujet d'intérêt public.</t>
        </is>
      </c>
      <c r="G914" s="73" t="inlineStr">
        <is>
          <t>Non</t>
        </is>
      </c>
      <c r="H914" s="72" t="n"/>
      <c r="I914" s="73" t="n">
        <v>0</v>
      </c>
      <c r="J914" s="73" t="n">
        <v>4</v>
      </c>
      <c r="K914" s="74">
        <f>IFERROR(I914/J914,0)</f>
        <v/>
      </c>
      <c r="L914" s="73" t="n">
        <v>50</v>
      </c>
      <c r="M914" s="73" t="n">
        <v>1515</v>
      </c>
      <c r="N914" s="73" t="n">
        <v>0</v>
      </c>
      <c r="O914" s="72" t="inlineStr">
        <is>
          <t>Image_Carrousel</t>
        </is>
      </c>
    </row>
    <row r="915" ht="13.5" customHeight="1" s="109">
      <c r="A915" s="35" t="inlineStr">
        <is>
          <t>https://www.instagram.com/p/DTdWKTsjEVB/</t>
        </is>
      </c>
      <c r="B915" s="35" t="inlineStr">
        <is>
          <t>Securite &amp; Justice</t>
        </is>
      </c>
      <c r="C915" s="35" t="inlineStr">
        <is>
          <t>Ordre public</t>
        </is>
      </c>
      <c r="D915" s="36" t="n">
        <v>50</v>
      </c>
      <c r="E915" s="36" t="inlineStr">
        <is>
          <t>N</t>
        </is>
      </c>
      <c r="F915" s="35" t="inlineStr">
        <is>
          <t>RTS est un média public suisse, vise la neutralité.</t>
        </is>
      </c>
      <c r="G915" s="36" t="inlineStr">
        <is>
          <t>Non</t>
        </is>
      </c>
      <c r="H915" s="35" t="n"/>
      <c r="I915" s="36" t="n">
        <v>0</v>
      </c>
      <c r="J915" s="36" t="n">
        <v>6</v>
      </c>
      <c r="K915" s="74">
        <f>IFERROR(I915/J915,0)</f>
        <v/>
      </c>
      <c r="L915" s="36" t="n">
        <v>339</v>
      </c>
      <c r="M915" s="36" t="n">
        <v>10080</v>
      </c>
      <c r="N915" s="36" t="n">
        <v>0</v>
      </c>
      <c r="O915" s="35" t="inlineStr">
        <is>
          <t>Image_Carrousel</t>
        </is>
      </c>
    </row>
    <row r="916" ht="13.5" customHeight="1" s="109">
      <c r="A916" s="72" t="inlineStr">
        <is>
          <t>https://www.instagram.com/p/DTdsQSVjAcG/</t>
        </is>
      </c>
      <c r="B916" s="72" t="inlineStr">
        <is>
          <t>Politique &amp; Institutions</t>
        </is>
      </c>
      <c r="C916" s="72" t="inlineStr">
        <is>
          <t>Vie politique CH</t>
        </is>
      </c>
      <c r="D916" s="73" t="n">
        <v>40</v>
      </c>
      <c r="E916" s="73" t="inlineStr">
        <is>
          <t>N</t>
        </is>
      </c>
      <c r="F916" s="72" t="inlineStr">
        <is>
          <t>RTS, service public, rapporte initiative gauche. Titre focalise sur mobilisation gauche.</t>
        </is>
      </c>
      <c r="G916" s="73" t="inlineStr">
        <is>
          <t>Non</t>
        </is>
      </c>
      <c r="H916" s="72" t="n"/>
      <c r="I916" s="73" t="n">
        <v>0</v>
      </c>
      <c r="J916" s="73" t="n">
        <v>3</v>
      </c>
      <c r="K916" s="74">
        <f>IFERROR(I916/J916,0)</f>
        <v/>
      </c>
      <c r="L916" s="73" t="n">
        <v>107</v>
      </c>
      <c r="M916" s="73" t="n">
        <v>6949</v>
      </c>
      <c r="N916" s="73" t="n">
        <v>0</v>
      </c>
      <c r="O916" s="72" t="inlineStr">
        <is>
          <t>Image_Carrousel</t>
        </is>
      </c>
    </row>
    <row r="917" ht="13.5" customHeight="1" s="109">
      <c r="A917" s="35" t="inlineStr">
        <is>
          <t>https://www.instagram.com/p/DTdBcl_jGtk/</t>
        </is>
      </c>
      <c r="B917" s="35" t="inlineStr">
        <is>
          <t>International</t>
        </is>
      </c>
      <c r="C917" s="35" t="inlineStr">
        <is>
          <t>Geopolitique</t>
        </is>
      </c>
      <c r="D917" s="36" t="n">
        <v>50</v>
      </c>
      <c r="E917" s="36" t="inlineStr">
        <is>
          <t>N</t>
        </is>
      </c>
      <c r="F917" s="35" t="inlineStr">
        <is>
          <t>Reportage factuel, source publique ATS/RTS, sans prise de position.</t>
        </is>
      </c>
      <c r="G917" s="36" t="inlineStr">
        <is>
          <t>Non</t>
        </is>
      </c>
      <c r="H917" s="35" t="n"/>
      <c r="I917" s="36" t="n">
        <v>0</v>
      </c>
      <c r="J917" s="36" t="n">
        <v>9</v>
      </c>
      <c r="K917" s="74">
        <f>IFERROR(I917/J917,0)</f>
        <v/>
      </c>
      <c r="L917" s="36" t="n">
        <v>145</v>
      </c>
      <c r="M917" s="36" t="n">
        <v>3240</v>
      </c>
      <c r="N917" s="36" t="n">
        <v>0</v>
      </c>
      <c r="O917" s="35" t="inlineStr">
        <is>
          <t>Image_Carrousel</t>
        </is>
      </c>
    </row>
    <row r="918" ht="13.5" customHeight="1" s="109">
      <c r="A918" s="72" t="inlineStr">
        <is>
          <t>https://www.instagram.com/p/DTeoakyFFsJ/</t>
        </is>
      </c>
      <c r="B918" s="72" t="inlineStr">
        <is>
          <t>Politique &amp; Institutions</t>
        </is>
      </c>
      <c r="C918" s="72" t="inlineStr">
        <is>
          <t>Vie politique CH</t>
        </is>
      </c>
      <c r="D918" s="73" t="n">
        <v>35</v>
      </c>
      <c r="E918" s="73" t="inlineStr">
        <is>
          <t>G</t>
        </is>
      </c>
      <c r="F918" s="72" t="inlineStr">
        <is>
          <t>Media public suisse, utilise l'écriture inclusive pour un sujet national.</t>
        </is>
      </c>
      <c r="G918" s="73" t="inlineStr">
        <is>
          <t>Oui</t>
        </is>
      </c>
      <c r="H918" s="72" t="inlineStr">
        <is>
          <t>Le style d'écriture inclusive du média est critiqué.</t>
        </is>
      </c>
      <c r="I918" s="73" t="n">
        <v>1</v>
      </c>
      <c r="J918" s="73" t="n">
        <v>7</v>
      </c>
      <c r="K918" s="74">
        <f>IFERROR(I918/J918,0)</f>
        <v/>
      </c>
      <c r="L918" s="73" t="n">
        <v>106</v>
      </c>
      <c r="M918" s="73" t="n">
        <v>5571</v>
      </c>
      <c r="N918" s="73" t="n">
        <v>132631</v>
      </c>
      <c r="O918" s="72" t="inlineStr">
        <is>
          <t>Video</t>
        </is>
      </c>
    </row>
    <row r="919" ht="13.5" customHeight="1" s="109">
      <c r="A919" s="35" t="inlineStr">
        <is>
          <t>https://www.instagram.com/p/DTdOeH9FJzI/</t>
        </is>
      </c>
      <c r="B919" s="35" t="inlineStr">
        <is>
          <t>Environnement &amp; Nature</t>
        </is>
      </c>
      <c r="C919" s="35" t="inlineStr">
        <is>
          <t>Climat / Ecologie</t>
        </is>
      </c>
      <c r="D919" s="36" t="n">
        <v>40</v>
      </c>
      <c r="E919" s="36" t="inlineStr">
        <is>
          <t>G</t>
        </is>
      </c>
      <c r="F919" s="35" t="inlineStr">
        <is>
          <t>La RTS interroge l'impact environnemental et social du luxe, orientant la discussion vers des préoccupations progressistes.</t>
        </is>
      </c>
      <c r="G919" s="36" t="inlineStr">
        <is>
          <t>Oui</t>
        </is>
      </c>
      <c r="H919" s="35" t="inlineStr">
        <is>
          <t>Correction terminologique sur 'spas' vs 'bains thermaux'.</t>
        </is>
      </c>
      <c r="I919" s="36" t="n">
        <v>1</v>
      </c>
      <c r="J919" s="36" t="n">
        <v>8</v>
      </c>
      <c r="K919" s="74">
        <f>IFERROR(I919/J919,0)</f>
        <v/>
      </c>
      <c r="L919" s="36" t="n">
        <v>20</v>
      </c>
      <c r="M919" s="36" t="n">
        <v>2729</v>
      </c>
      <c r="N919" s="36" t="n">
        <v>52671</v>
      </c>
      <c r="O919" s="35" t="inlineStr">
        <is>
          <t>Video</t>
        </is>
      </c>
    </row>
    <row r="920" ht="13.5" customHeight="1" s="109">
      <c r="A920" s="72" t="inlineStr">
        <is>
          <t>https://www.instagram.com/p/DTdc1hEky8G/</t>
        </is>
      </c>
      <c r="B920" s="72" t="inlineStr">
        <is>
          <t>International</t>
        </is>
      </c>
      <c r="C920" s="72" t="inlineStr">
        <is>
          <t>Geopolitique</t>
        </is>
      </c>
      <c r="D920" s="73" t="n">
        <v>50</v>
      </c>
      <c r="E920" s="73" t="inlineStr">
        <is>
          <t>N</t>
        </is>
      </c>
      <c r="F920" s="72" t="inlineStr">
        <is>
          <t>Analyse équilibrée des aspects controversés et démocratiques de Reza Pahlavi.</t>
        </is>
      </c>
      <c r="G920" s="73" t="inlineStr">
        <is>
          <t>Oui</t>
        </is>
      </c>
      <c r="H920" s="72" t="inlineStr">
        <is>
          <t>Omissions/nuances sur frappes israéliennes et régime Pahlavi.</t>
        </is>
      </c>
      <c r="I920" s="73" t="n">
        <v>2</v>
      </c>
      <c r="J920" s="73" t="n">
        <v>6</v>
      </c>
      <c r="K920" s="74">
        <f>IFERROR(I920/J920,0)</f>
        <v/>
      </c>
      <c r="L920" s="73" t="n">
        <v>221</v>
      </c>
      <c r="M920" s="73" t="n">
        <v>868</v>
      </c>
      <c r="N920" s="73" t="n">
        <v>19737</v>
      </c>
      <c r="O920" s="72" t="inlineStr">
        <is>
          <t>Video</t>
        </is>
      </c>
    </row>
    <row r="921" ht="13.5" customHeight="1" s="109">
      <c r="A921" s="35" t="inlineStr">
        <is>
          <t>https://www.instagram.com/p/DTdjmZNCPjF/</t>
        </is>
      </c>
      <c r="B921" s="35" t="inlineStr">
        <is>
          <t>International</t>
        </is>
      </c>
      <c r="C921" s="35" t="inlineStr">
        <is>
          <t>Conflits</t>
        </is>
      </c>
      <c r="D921" s="36" t="n">
        <v>45</v>
      </c>
      <c r="E921" s="36" t="inlineStr">
        <is>
          <t>N</t>
        </is>
      </c>
      <c r="F921" s="35" t="inlineStr">
        <is>
          <t>Rapport factuel de l'ONU sur les victimes civiles du conflit en Ukraine.</t>
        </is>
      </c>
      <c r="G921" s="36" t="inlineStr">
        <is>
          <t>Oui</t>
        </is>
      </c>
      <c r="H921" s="35" t="inlineStr">
        <is>
          <t>Accusations de biais narratif ou de fausse information.</t>
        </is>
      </c>
      <c r="I921" s="36" t="n">
        <v>3</v>
      </c>
      <c r="J921" s="36" t="n">
        <v>7</v>
      </c>
      <c r="K921" s="74">
        <f>IFERROR(I921/J921,0)</f>
        <v/>
      </c>
      <c r="L921" s="36" t="n">
        <v>58</v>
      </c>
      <c r="M921" s="36" t="n">
        <v>2764</v>
      </c>
      <c r="N921" s="36" t="n">
        <v>0</v>
      </c>
      <c r="O921" s="35" t="inlineStr">
        <is>
          <t>Image_Carrousel</t>
        </is>
      </c>
    </row>
    <row r="922" ht="13.5" customHeight="1" s="109">
      <c r="A922" s="72" t="inlineStr">
        <is>
          <t>https://www.instagram.com/p/DTazYsGgtPD/</t>
        </is>
      </c>
      <c r="B922" s="72" t="inlineStr">
        <is>
          <t>Politique &amp; Institutions</t>
        </is>
      </c>
      <c r="C922" s="72" t="inlineStr">
        <is>
          <t>Autorites</t>
        </is>
      </c>
      <c r="D922" s="73" t="n">
        <v>50</v>
      </c>
      <c r="E922" s="73" t="inlineStr">
        <is>
          <t>N</t>
        </is>
      </c>
      <c r="F922" s="72" t="inlineStr">
        <is>
          <t>Rapportage factuel de l'événement, sans opinion ou ton éditorial marqué.</t>
        </is>
      </c>
      <c r="G922" s="73" t="inlineStr">
        <is>
          <t>Non</t>
        </is>
      </c>
      <c r="H922" s="72" t="inlineStr">
        <is>
          <t>Aucun reproche direct au média.</t>
        </is>
      </c>
      <c r="I922" s="73" t="n">
        <v>0</v>
      </c>
      <c r="J922" s="73" t="n">
        <v>7</v>
      </c>
      <c r="K922" s="74">
        <f>IFERROR(I922/J922,0)</f>
        <v/>
      </c>
      <c r="L922" s="73" t="n">
        <v>61</v>
      </c>
      <c r="M922" s="73" t="n">
        <v>1906</v>
      </c>
      <c r="N922" s="73" t="n">
        <v>43417</v>
      </c>
      <c r="O922" s="72" t="inlineStr">
        <is>
          <t>Video</t>
        </is>
      </c>
    </row>
    <row r="923" ht="13.5" customHeight="1" s="109">
      <c r="A923" s="35" t="inlineStr">
        <is>
          <t>https://www.instagram.com/p/DTe1-_rlIJy/</t>
        </is>
      </c>
      <c r="B923" s="35" t="inlineStr">
        <is>
          <t>International</t>
        </is>
      </c>
      <c r="C923" s="35" t="inlineStr">
        <is>
          <t>Conflits</t>
        </is>
      </c>
      <c r="D923" s="36" t="n">
        <v>30</v>
      </c>
      <c r="E923" s="36" t="inlineStr">
        <is>
          <t>G</t>
        </is>
      </c>
      <c r="F923" s="35" t="inlineStr">
        <is>
          <t>Rapporte des décès d'enfants à Gaza (UNICEF), critique restrictions israéliennes sur l'aide.</t>
        </is>
      </c>
      <c r="G923" s="36" t="inlineStr">
        <is>
          <t>Oui</t>
        </is>
      </c>
      <c r="H923" s="35" t="inlineStr">
        <is>
          <t>Accusations de biais 'islamo gauchistes' et de sources non vérifiées/tendancieuses.</t>
        </is>
      </c>
      <c r="I923" s="36" t="n">
        <v>2</v>
      </c>
      <c r="J923" s="36" t="n">
        <v>10</v>
      </c>
      <c r="K923" s="74">
        <f>IFERROR(I923/J923,0)</f>
        <v/>
      </c>
      <c r="L923" s="36" t="n">
        <v>287</v>
      </c>
      <c r="M923" s="36" t="n">
        <v>4914</v>
      </c>
      <c r="N923" s="36" t="n">
        <v>0</v>
      </c>
      <c r="O923" s="35" t="inlineStr">
        <is>
          <t>Image_Carrousel</t>
        </is>
      </c>
    </row>
    <row r="924" ht="13.5" customHeight="1" s="109">
      <c r="A924" s="72" t="inlineStr">
        <is>
          <t>https://www.instagram.com/p/DTZ6IkxDCii/</t>
        </is>
      </c>
      <c r="B924" s="72" t="inlineStr">
        <is>
          <t>Securite &amp; Justice</t>
        </is>
      </c>
      <c r="C924" s="72" t="inlineStr">
        <is>
          <t>Ordre public</t>
        </is>
      </c>
      <c r="D924" s="73" t="n">
        <v>40</v>
      </c>
      <c r="E924" s="73" t="inlineStr">
        <is>
          <t>N</t>
        </is>
      </c>
      <c r="F924" s="72" t="inlineStr">
        <is>
          <t>Média public, perçu légèrement à gauche par certains, exigeant 'info de droite'.</t>
        </is>
      </c>
      <c r="G924" s="73" t="inlineStr">
        <is>
          <t>Oui</t>
        </is>
      </c>
      <c r="H924" s="72" t="inlineStr">
        <is>
          <t>Accusations de biais, lenteur à agir et de diffuser du faux contenu.</t>
        </is>
      </c>
      <c r="I924" s="73" t="n">
        <v>3</v>
      </c>
      <c r="J924" s="73" t="n">
        <v>7</v>
      </c>
      <c r="K924" s="74">
        <f>IFERROR(I924/J924,0)</f>
        <v/>
      </c>
      <c r="L924" s="73" t="n">
        <v>18</v>
      </c>
      <c r="M924" s="73" t="n">
        <v>952</v>
      </c>
      <c r="N924" s="73" t="n">
        <v>39959</v>
      </c>
      <c r="O924" s="72" t="inlineStr">
        <is>
          <t>Video</t>
        </is>
      </c>
    </row>
    <row r="925" ht="13.5" customHeight="1" s="109">
      <c r="A925" s="35" t="inlineStr">
        <is>
          <t>https://www.instagram.com/p/DTaW704DJKQ/</t>
        </is>
      </c>
      <c r="B925" s="35" t="inlineStr">
        <is>
          <t>Politique &amp; Institutions</t>
        </is>
      </c>
      <c r="C925" s="35" t="inlineStr">
        <is>
          <t>Autorites</t>
        </is>
      </c>
      <c r="D925" s="36" t="n">
        <v>45</v>
      </c>
      <c r="E925" s="36" t="inlineStr">
        <is>
          <t>N</t>
        </is>
      </c>
      <c r="F925" s="35" t="inlineStr">
        <is>
          <t>RTS rapporte neutrement un rapport officiel sur des lacunes institutionnelles.</t>
        </is>
      </c>
      <c r="G925" s="36" t="inlineStr">
        <is>
          <t>Non</t>
        </is>
      </c>
      <c r="H925" s="35" t="n"/>
      <c r="I925" s="36" t="n">
        <v>0</v>
      </c>
      <c r="J925" s="36" t="n">
        <v>2</v>
      </c>
      <c r="K925" s="74">
        <f>IFERROR(I925/J925,0)</f>
        <v/>
      </c>
      <c r="L925" s="36" t="n">
        <v>90</v>
      </c>
      <c r="M925" s="36" t="n">
        <v>1655</v>
      </c>
      <c r="N925" s="36" t="n">
        <v>0</v>
      </c>
      <c r="O925" s="35" t="inlineStr">
        <is>
          <t>Image_Carrousel</t>
        </is>
      </c>
    </row>
    <row r="926" ht="13.5" customHeight="1" s="109">
      <c r="A926" s="72" t="inlineStr">
        <is>
          <t>https://www.instagram.com/p/DTa-zWpCJ4Y/</t>
        </is>
      </c>
      <c r="B926" s="72" t="inlineStr">
        <is>
          <t>Culture &amp; Loisirs</t>
        </is>
      </c>
      <c r="C926" s="72" t="inlineStr">
        <is>
          <t>Sport</t>
        </is>
      </c>
      <c r="D926" s="73" t="n">
        <v>40</v>
      </c>
      <c r="E926" s="73" t="inlineStr">
        <is>
          <t>N</t>
        </is>
      </c>
      <c r="F926" s="72" t="inlineStr">
        <is>
          <t>Service public, factuel, réputé neutre, mais souvent perçu légèrement centre-gauche.</t>
        </is>
      </c>
      <c r="G926" s="73" t="inlineStr">
        <is>
          <t>Non</t>
        </is>
      </c>
      <c r="H926" s="72" t="inlineStr">
        <is>
          <t>Aucune critique directe du média par les commentateurs.</t>
        </is>
      </c>
      <c r="I926" s="73" t="n">
        <v>0</v>
      </c>
      <c r="J926" s="73" t="n">
        <v>8</v>
      </c>
      <c r="K926" s="74">
        <f>IFERROR(I926/J926,0)</f>
        <v/>
      </c>
      <c r="L926" s="73" t="n">
        <v>120</v>
      </c>
      <c r="M926" s="73" t="n">
        <v>11450</v>
      </c>
      <c r="N926" s="73" t="n">
        <v>0</v>
      </c>
      <c r="O926" s="72" t="inlineStr">
        <is>
          <t>Image_Carrousel</t>
        </is>
      </c>
    </row>
    <row r="927" ht="13.5" customHeight="1" s="109">
      <c r="A927" s="35" t="inlineStr">
        <is>
          <t>https://www.instagram.com/p/DTcKUn2jZp_/</t>
        </is>
      </c>
      <c r="B927" s="35" t="inlineStr">
        <is>
          <t>Politique &amp; Institutions</t>
        </is>
      </c>
      <c r="C927" s="35" t="inlineStr">
        <is>
          <t>Vie politique CH</t>
        </is>
      </c>
      <c r="D927" s="36" t="n">
        <v>40</v>
      </c>
      <c r="E927" s="36" t="inlineStr">
        <is>
          <t>G</t>
        </is>
      </c>
      <c r="F927" s="35" t="inlineStr">
        <is>
          <t>Reportage factuel du Monde, mais sujet encadré avec prudence (danger démocratie).</t>
        </is>
      </c>
      <c r="G927" s="36" t="inlineStr">
        <is>
          <t>Oui</t>
        </is>
      </c>
      <c r="H927" s="35" t="inlineStr">
        <is>
          <t>Accusations de biais, simplification et faussement des discours.</t>
        </is>
      </c>
      <c r="I927" s="36" t="n">
        <v>2</v>
      </c>
      <c r="J927" s="36" t="n">
        <v>5</v>
      </c>
      <c r="K927" s="74">
        <f>IFERROR(I927/J927,0)</f>
        <v/>
      </c>
      <c r="L927" s="36" t="n">
        <v>702</v>
      </c>
      <c r="M927" s="36" t="n">
        <v>4524</v>
      </c>
      <c r="N927" s="36" t="n">
        <v>0</v>
      </c>
      <c r="O927" s="35" t="inlineStr">
        <is>
          <t>Image_Carrousel</t>
        </is>
      </c>
    </row>
    <row r="928" ht="13.5" customHeight="1" s="109">
      <c r="A928" s="72" t="inlineStr">
        <is>
          <t>https://www.instagram.com/p/DTcRL3PkjKn/</t>
        </is>
      </c>
      <c r="B928" s="72" t="inlineStr">
        <is>
          <t>Environnement &amp; Nature</t>
        </is>
      </c>
      <c r="C928" s="72" t="inlineStr">
        <is>
          <t>Climat / Ecologie</t>
        </is>
      </c>
      <c r="D928" s="73" t="n">
        <v>40</v>
      </c>
      <c r="E928" s="73" t="inlineStr">
        <is>
          <t>N</t>
        </is>
      </c>
      <c r="F928" s="72" t="inlineStr">
        <is>
          <t>Information factuelle sur une avancée environnementale et juridique.</t>
        </is>
      </c>
      <c r="G928" s="73" t="inlineStr">
        <is>
          <t>Non</t>
        </is>
      </c>
      <c r="H928" s="72" t="n"/>
      <c r="I928" s="73" t="n">
        <v>0</v>
      </c>
      <c r="J928" s="73" t="n">
        <v>10</v>
      </c>
      <c r="K928" s="74">
        <f>IFERROR(I928/J928,0)</f>
        <v/>
      </c>
      <c r="L928" s="73" t="n">
        <v>37</v>
      </c>
      <c r="M928" s="73" t="n">
        <v>5467</v>
      </c>
      <c r="N928" s="73" t="n">
        <v>0</v>
      </c>
      <c r="O928" s="72" t="inlineStr">
        <is>
          <t>Image_Carrousel</t>
        </is>
      </c>
    </row>
    <row r="929" ht="13.5" customHeight="1" s="109">
      <c r="A929" s="35" t="inlineStr">
        <is>
          <t>https://www.instagram.com/p/DTciWkpkedN/</t>
        </is>
      </c>
      <c r="B929" s="35" t="inlineStr">
        <is>
          <t>Culture &amp; Loisirs</t>
        </is>
      </c>
      <c r="C929" s="35" t="inlineStr">
        <is>
          <t>Arts</t>
        </is>
      </c>
      <c r="D929" s="36" t="n">
        <v>50</v>
      </c>
      <c r="E929" s="36" t="inlineStr">
        <is>
          <t>N</t>
        </is>
      </c>
      <c r="F929" s="35" t="inlineStr">
        <is>
          <t>Média public suisse, perçu comme neutre et factuel.</t>
        </is>
      </c>
      <c r="G929" s="36" t="inlineStr">
        <is>
          <t>Oui</t>
        </is>
      </c>
      <c r="H929" s="35" t="inlineStr">
        <is>
          <t>Commentaires demandent la diffusion de la saison 3 sur RTS.</t>
        </is>
      </c>
      <c r="I929" s="36" t="n">
        <v>2</v>
      </c>
      <c r="J929" s="36" t="n">
        <v>9</v>
      </c>
      <c r="K929" s="74">
        <f>IFERROR(I929/J929,0)</f>
        <v/>
      </c>
      <c r="L929" s="36" t="n">
        <v>9</v>
      </c>
      <c r="M929" s="36" t="n">
        <v>3496</v>
      </c>
      <c r="N929" s="36" t="n">
        <v>0</v>
      </c>
      <c r="O929" s="35" t="inlineStr">
        <is>
          <t>Image_Carrousel</t>
        </is>
      </c>
    </row>
    <row r="930" ht="13.5" customHeight="1" s="109">
      <c r="A930" s="72" t="inlineStr">
        <is>
          <t>https://www.instagram.com/p/DTaZ4q8DFck/</t>
        </is>
      </c>
      <c r="B930" s="72" t="inlineStr">
        <is>
          <t>Sante</t>
        </is>
      </c>
      <c r="C930" s="72" t="inlineStr">
        <is>
          <t>Sante publique</t>
        </is>
      </c>
      <c r="D930" s="73" t="n">
        <v>40</v>
      </c>
      <c r="E930" s="73" t="inlineStr">
        <is>
          <t>N</t>
        </is>
      </c>
      <c r="F930" s="72" t="inlineStr">
        <is>
          <t>RTS, média public, informe sur un dispositif de soutien psychologique suite à une tragédie.</t>
        </is>
      </c>
      <c r="G930" s="73" t="inlineStr">
        <is>
          <t>Non</t>
        </is>
      </c>
      <c r="H930" s="72" t="n"/>
      <c r="I930" s="73" t="n">
        <v>0</v>
      </c>
      <c r="J930" s="73" t="n">
        <v>3</v>
      </c>
      <c r="K930" s="74">
        <f>IFERROR(I930/J930,0)</f>
        <v/>
      </c>
      <c r="L930" s="73" t="n">
        <v>19</v>
      </c>
      <c r="M930" s="73" t="n">
        <v>5081</v>
      </c>
      <c r="N930" s="73" t="n">
        <v>0</v>
      </c>
      <c r="O930" s="72" t="inlineStr">
        <is>
          <t>Image_Carrousel</t>
        </is>
      </c>
    </row>
    <row r="931" ht="13.5" customHeight="1" s="109">
      <c r="A931" s="35" t="inlineStr">
        <is>
          <t>https://www.instagram.com/p/DTaOwpkD0mD/</t>
        </is>
      </c>
      <c r="B931" s="35" t="inlineStr">
        <is>
          <t>Securite &amp; Justice</t>
        </is>
      </c>
      <c r="C931" s="35" t="inlineStr">
        <is>
          <t>Justice</t>
        </is>
      </c>
      <c r="D931" s="36" t="n">
        <v>50</v>
      </c>
      <c r="E931" s="36" t="inlineStr">
        <is>
          <t>N</t>
        </is>
      </c>
      <c r="F931" s="35" t="inlineStr">
        <is>
          <t>RTS est un média de service public, rapportant les faits de manière neutre.</t>
        </is>
      </c>
      <c r="G931" s="36" t="inlineStr">
        <is>
          <t>Non</t>
        </is>
      </c>
      <c r="H931" s="35" t="n"/>
      <c r="I931" s="36" t="n">
        <v>0</v>
      </c>
      <c r="J931" s="36" t="n">
        <v>6</v>
      </c>
      <c r="K931" s="74">
        <f>IFERROR(I931/J931,0)</f>
        <v/>
      </c>
      <c r="L931" s="36" t="n">
        <v>847</v>
      </c>
      <c r="M931" s="36" t="n">
        <v>35007</v>
      </c>
      <c r="N931" s="36" t="n">
        <v>0</v>
      </c>
      <c r="O931" s="35" t="inlineStr">
        <is>
          <t>Image_Carrousel</t>
        </is>
      </c>
    </row>
    <row r="932" ht="13.5" customHeight="1" s="109">
      <c r="A932" s="72" t="inlineStr">
        <is>
          <t>https://www.instagram.com/p/DTaVlxeAp3p/</t>
        </is>
      </c>
      <c r="B932" s="72" t="inlineStr">
        <is>
          <t>Societe &amp; Droits</t>
        </is>
      </c>
      <c r="C932" s="72" t="inlineStr">
        <is>
          <t>Faits de societe</t>
        </is>
      </c>
      <c r="D932" s="73" t="n">
        <v>50</v>
      </c>
      <c r="E932" s="73" t="inlineStr">
        <is>
          <t>N</t>
        </is>
      </c>
      <c r="F932" s="72" t="inlineStr">
        <is>
          <t>Reportage factuel sur un fait de société unique et ses conséquences économiques.</t>
        </is>
      </c>
      <c r="G932" s="73" t="inlineStr">
        <is>
          <t>Oui</t>
        </is>
      </c>
      <c r="H932" s="72" t="inlineStr">
        <is>
          <t>Un commentaire juge le contenu du média non intéressant et superficiel.</t>
        </is>
      </c>
      <c r="I932" s="73" t="n">
        <v>1</v>
      </c>
      <c r="J932" s="73" t="n">
        <v>6</v>
      </c>
      <c r="K932" s="74">
        <f>IFERROR(I932/J932,0)</f>
        <v/>
      </c>
      <c r="L932" s="73" t="n">
        <v>28</v>
      </c>
      <c r="M932" s="73" t="n">
        <v>7588</v>
      </c>
      <c r="N932" s="73" t="n">
        <v>0</v>
      </c>
      <c r="O932" s="72" t="inlineStr">
        <is>
          <t>Image_Carrousel</t>
        </is>
      </c>
    </row>
    <row r="933" ht="13.5" customHeight="1" s="109">
      <c r="A933" s="35" t="inlineStr">
        <is>
          <t>https://www.instagram.com/p/DTcsqv2jFLr/</t>
        </is>
      </c>
      <c r="B933" s="35" t="inlineStr">
        <is>
          <t>Societe &amp; Droits</t>
        </is>
      </c>
      <c r="C933" s="35" t="inlineStr">
        <is>
          <t>Faits de societe</t>
        </is>
      </c>
      <c r="D933" s="36" t="n">
        <v>45</v>
      </c>
      <c r="E933" s="36" t="inlineStr">
        <is>
          <t>N</t>
        </is>
      </c>
      <c r="F933" s="35" t="inlineStr">
        <is>
          <t>Média public suisse, rapporte un fait social grave, légèrement critique du grand événement.</t>
        </is>
      </c>
      <c r="G933" s="36" t="inlineStr">
        <is>
          <t>Oui</t>
        </is>
      </c>
      <c r="H933" s="35" t="inlineStr">
        <is>
          <t>Accusation de biais, de sélection de l'information, et de manque de confiance.</t>
        </is>
      </c>
      <c r="I933" s="36" t="n">
        <v>2</v>
      </c>
      <c r="J933" s="36" t="n">
        <v>3</v>
      </c>
      <c r="K933" s="74">
        <f>IFERROR(I933/J933,0)</f>
        <v/>
      </c>
      <c r="L933" s="36" t="n">
        <v>27</v>
      </c>
      <c r="M933" s="36" t="n">
        <v>4058</v>
      </c>
      <c r="N933" s="36" t="n">
        <v>0</v>
      </c>
      <c r="O933" s="35" t="inlineStr">
        <is>
          <t>Image_Carrousel</t>
        </is>
      </c>
    </row>
    <row r="934" ht="13.5" customHeight="1" s="109">
      <c r="A934" s="72" t="inlineStr">
        <is>
          <t>https://www.instagram.com/p/DTapHSxDimC/</t>
        </is>
      </c>
      <c r="B934" s="72" t="inlineStr">
        <is>
          <t>Securite &amp; Justice</t>
        </is>
      </c>
      <c r="C934" s="72" t="inlineStr">
        <is>
          <t>Justice</t>
        </is>
      </c>
      <c r="D934" s="73" t="n">
        <v>50</v>
      </c>
      <c r="E934" s="73" t="inlineStr">
        <is>
          <t>N</t>
        </is>
      </c>
      <c r="F934" s="72" t="inlineStr">
        <is>
          <t>RTS est un média de service public, reconnu pour sa neutralité et son objectivité.</t>
        </is>
      </c>
      <c r="G934" s="73" t="inlineStr">
        <is>
          <t>Non</t>
        </is>
      </c>
      <c r="H934" s="72" t="n"/>
      <c r="I934" s="73" t="n">
        <v>0</v>
      </c>
      <c r="J934" s="73" t="n">
        <v>9</v>
      </c>
      <c r="K934" s="74">
        <f>IFERROR(I934/J934,0)</f>
        <v/>
      </c>
      <c r="L934" s="73" t="n">
        <v>131</v>
      </c>
      <c r="M934" s="73" t="n">
        <v>14188</v>
      </c>
      <c r="N934" s="73" t="n">
        <v>0</v>
      </c>
      <c r="O934" s="72" t="inlineStr">
        <is>
          <t>Image_Carrousel</t>
        </is>
      </c>
    </row>
    <row r="935" ht="13.5" customHeight="1" s="109">
      <c r="A935" s="35" t="inlineStr">
        <is>
          <t>https://www.instagram.com/p/DTZlhY8jRob/</t>
        </is>
      </c>
      <c r="B935" s="35" t="inlineStr">
        <is>
          <t>Securite &amp; Justice</t>
        </is>
      </c>
      <c r="C935" s="35" t="inlineStr">
        <is>
          <t>Ordre public</t>
        </is>
      </c>
      <c r="D935" s="36" t="n">
        <v>45</v>
      </c>
      <c r="E935" s="36" t="inlineStr">
        <is>
          <t>N</t>
        </is>
      </c>
      <c r="F935" s="35" t="inlineStr">
        <is>
          <t>RTS, service public suisse, reporte les faits de manière neutre et informative.</t>
        </is>
      </c>
      <c r="G935" s="36" t="inlineStr">
        <is>
          <t>Non</t>
        </is>
      </c>
      <c r="H935" s="35" t="inlineStr">
        <is>
          <t>Aucune critique du média.</t>
        </is>
      </c>
      <c r="I935" s="36" t="n">
        <v>0</v>
      </c>
      <c r="J935" s="36" t="n">
        <v>3</v>
      </c>
      <c r="K935" s="74">
        <f>IFERROR(I935/J935,0)</f>
        <v/>
      </c>
      <c r="L935" s="36" t="n">
        <v>4</v>
      </c>
      <c r="M935" s="36" t="n">
        <v>4515</v>
      </c>
      <c r="N935" s="36" t="n">
        <v>0</v>
      </c>
      <c r="O935" s="35" t="inlineStr">
        <is>
          <t>Image_Carrousel</t>
        </is>
      </c>
    </row>
    <row r="936" ht="13.5" customHeight="1" s="109">
      <c r="A936" s="72" t="inlineStr">
        <is>
          <t>https://www.instagram.com/p/DTcDdVxDx60/</t>
        </is>
      </c>
      <c r="B936" s="72" t="inlineStr">
        <is>
          <t>Sante</t>
        </is>
      </c>
      <c r="C936" s="72" t="inlineStr">
        <is>
          <t>Sante publique</t>
        </is>
      </c>
      <c r="D936" s="73" t="n">
        <v>40</v>
      </c>
      <c r="E936" s="73" t="inlineStr">
        <is>
          <t>N</t>
        </is>
      </c>
      <c r="F936" s="72" t="inlineStr">
        <is>
          <t>Média public suisse, aborde santé via facteurs sociaux et environnementaux (climat).</t>
        </is>
      </c>
      <c r="G936" s="73" t="inlineStr">
        <is>
          <t>Oui</t>
        </is>
      </c>
      <c r="H936" s="72" t="inlineStr">
        <is>
          <t>Le média n'aborde pas assez certains facteurs ou sujet de façon incomplète.</t>
        </is>
      </c>
      <c r="I936" s="73" t="n">
        <v>2</v>
      </c>
      <c r="J936" s="73" t="n">
        <v>5</v>
      </c>
      <c r="K936" s="74">
        <f>IFERROR(I936/J936,0)</f>
        <v/>
      </c>
      <c r="L936" s="73" t="n">
        <v>50</v>
      </c>
      <c r="M936" s="73" t="n">
        <v>5983</v>
      </c>
      <c r="N936" s="73" t="n">
        <v>0</v>
      </c>
      <c r="O936" s="72" t="inlineStr">
        <is>
          <t>Image_Carrousel</t>
        </is>
      </c>
    </row>
    <row r="937" ht="13.5" customHeight="1" s="109">
      <c r="A937" s="35" t="inlineStr">
        <is>
          <t>https://www.instagram.com/p/DTZsYqQD-Q5/</t>
        </is>
      </c>
      <c r="B937" s="35" t="inlineStr">
        <is>
          <t>Societe &amp; Droits</t>
        </is>
      </c>
      <c r="C937" s="35" t="inlineStr">
        <is>
          <t>Faits de societe</t>
        </is>
      </c>
      <c r="D937" s="36" t="n">
        <v>45</v>
      </c>
      <c r="E937" s="36" t="inlineStr">
        <is>
          <t>N</t>
        </is>
      </c>
      <c r="F937" s="35" t="inlineStr">
        <is>
          <t>RTS est un média public, reportage factuel sans parti pris apparent.</t>
        </is>
      </c>
      <c r="G937" s="36" t="inlineStr">
        <is>
          <t>Non</t>
        </is>
      </c>
      <c r="H937" s="35" t="inlineStr">
        <is>
          <t>Aucun commentaire ne critique directement le travail du média.</t>
        </is>
      </c>
      <c r="I937" s="36" t="n">
        <v>0</v>
      </c>
      <c r="J937" s="36" t="n">
        <v>3</v>
      </c>
      <c r="K937" s="74">
        <f>IFERROR(I937/J937,0)</f>
        <v/>
      </c>
      <c r="L937" s="36" t="n">
        <v>38</v>
      </c>
      <c r="M937" s="36" t="n">
        <v>3267</v>
      </c>
      <c r="N937" s="36" t="n">
        <v>0</v>
      </c>
      <c r="O937" s="35" t="inlineStr">
        <is>
          <t>Image_Carrousel</t>
        </is>
      </c>
    </row>
    <row r="938" ht="13.5" customHeight="1" s="109">
      <c r="A938" s="72" t="inlineStr">
        <is>
          <t>https://www.instagram.com/p/DTXuH2Gjwln/</t>
        </is>
      </c>
      <c r="B938" s="72" t="inlineStr">
        <is>
          <t>International</t>
        </is>
      </c>
      <c r="C938" s="72" t="inlineStr">
        <is>
          <t>Conflits</t>
        </is>
      </c>
      <c r="D938" s="73" t="n">
        <v>50</v>
      </c>
      <c r="E938" s="73" t="inlineStr">
        <is>
          <t>N</t>
        </is>
      </c>
      <c r="F938" s="72" t="inlineStr">
        <is>
          <t>RTS rapporte faits, ONG et déclarations internationales sans prendre position.</t>
        </is>
      </c>
      <c r="G938" s="73" t="inlineStr">
        <is>
          <t>Oui</t>
        </is>
      </c>
      <c r="H938" s="72" t="inlineStr">
        <is>
          <t>Sous-estimation morts; simplification raisons manifestations.</t>
        </is>
      </c>
      <c r="I938" s="73" t="n">
        <v>2</v>
      </c>
      <c r="J938" s="73" t="n">
        <v>8</v>
      </c>
      <c r="K938" s="74">
        <f>IFERROR(I938/J938,0)</f>
        <v/>
      </c>
      <c r="L938" s="73" t="n">
        <v>162</v>
      </c>
      <c r="M938" s="73" t="n">
        <v>4802</v>
      </c>
      <c r="N938" s="73" t="n">
        <v>0</v>
      </c>
      <c r="O938" s="72" t="inlineStr">
        <is>
          <t>Image_Carrousel</t>
        </is>
      </c>
    </row>
    <row r="939" ht="13.5" customHeight="1" s="109">
      <c r="A939" s="35" t="inlineStr">
        <is>
          <t>https://www.instagram.com/p/DTZe0PliQ4F/</t>
        </is>
      </c>
      <c r="B939" s="35" t="inlineStr">
        <is>
          <t>Societe &amp; Droits</t>
        </is>
      </c>
      <c r="C939" s="35" t="inlineStr">
        <is>
          <t>Questions de Genre</t>
        </is>
      </c>
      <c r="D939" s="36" t="n">
        <v>45</v>
      </c>
      <c r="E939" s="36" t="inlineStr">
        <is>
          <t>N</t>
        </is>
      </c>
      <c r="F939" s="35" t="inlineStr">
        <is>
          <t>Média public suisse aborde sujet sociétal lié à la santé féminine et au travail.</t>
        </is>
      </c>
      <c r="G939" s="36" t="inlineStr">
        <is>
          <t>Non</t>
        </is>
      </c>
      <c r="H939" s="35" t="n"/>
      <c r="I939" s="36" t="n">
        <v>0</v>
      </c>
      <c r="J939" s="36" t="n">
        <v>10</v>
      </c>
      <c r="K939" s="74">
        <f>IFERROR(I939/J939,0)</f>
        <v/>
      </c>
      <c r="L939" s="36" t="n">
        <v>31</v>
      </c>
      <c r="M939" s="36" t="n">
        <v>2472</v>
      </c>
      <c r="N939" s="36" t="n">
        <v>52257</v>
      </c>
      <c r="O939" s="35" t="inlineStr">
        <is>
          <t>Video</t>
        </is>
      </c>
    </row>
    <row r="940" ht="13.5" customHeight="1" s="109">
      <c r="A940" s="72" t="inlineStr">
        <is>
          <t>https://www.instagram.com/p/DTYFZQjE1a3/</t>
        </is>
      </c>
      <c r="B940" s="72" t="inlineStr">
        <is>
          <t>Culture &amp; Loisirs</t>
        </is>
      </c>
      <c r="C940" s="72" t="inlineStr">
        <is>
          <t>Arts</t>
        </is>
      </c>
      <c r="D940" s="73" t="n">
        <v>50</v>
      </c>
      <c r="E940" s="73" t="inlineStr">
        <is>
          <t>N</t>
        </is>
      </c>
      <c r="F940" s="72" t="inlineStr">
        <is>
          <t>Média public suisse, vise l'impartialité, légèrement centriste-gauche.</t>
        </is>
      </c>
      <c r="G940" s="73" t="inlineStr">
        <is>
          <t>Non</t>
        </is>
      </c>
      <c r="H940" s="72" t="n"/>
      <c r="I940" s="73" t="n">
        <v>0</v>
      </c>
      <c r="J940" s="73" t="n">
        <v>0</v>
      </c>
      <c r="K940" s="74">
        <f>IFERROR(I940/J940,0)</f>
        <v/>
      </c>
      <c r="L940" s="73" t="n">
        <v>0</v>
      </c>
      <c r="M940" s="73" t="n">
        <v>1359</v>
      </c>
      <c r="N940" s="73" t="n">
        <v>0</v>
      </c>
      <c r="O940" s="72" t="inlineStr">
        <is>
          <t>Image_Carrousel</t>
        </is>
      </c>
    </row>
    <row r="941" ht="13.5" customHeight="1" s="109">
      <c r="A941" s="35" t="inlineStr">
        <is>
          <t>https://www.instagram.com/p/DTXqGYJAvoC/</t>
        </is>
      </c>
      <c r="B941" s="35" t="inlineStr">
        <is>
          <t>Culture &amp; Loisirs</t>
        </is>
      </c>
      <c r="C941" s="35" t="inlineStr">
        <is>
          <t>Sport</t>
        </is>
      </c>
      <c r="D941" s="36" t="n">
        <v>45</v>
      </c>
      <c r="E941" s="36" t="inlineStr">
        <is>
          <t>N</t>
        </is>
      </c>
      <c r="F941" s="35" t="inlineStr">
        <is>
          <t>Média public suisse, couverture factuelle et neutre, sans biais apparent.</t>
        </is>
      </c>
      <c r="G941" s="36" t="inlineStr">
        <is>
          <t>Non</t>
        </is>
      </c>
      <c r="H941" s="35" t="n"/>
      <c r="I941" s="36" t="n">
        <v>0</v>
      </c>
      <c r="J941" s="36" t="n">
        <v>7</v>
      </c>
      <c r="K941" s="74">
        <f>IFERROR(I941/J941,0)</f>
        <v/>
      </c>
      <c r="L941" s="36" t="n">
        <v>7</v>
      </c>
      <c r="M941" s="36" t="n">
        <v>2842</v>
      </c>
      <c r="N941" s="36" t="n">
        <v>53119</v>
      </c>
      <c r="O941" s="35" t="inlineStr">
        <is>
          <t>Video</t>
        </is>
      </c>
    </row>
    <row r="942" ht="13.5" customHeight="1" s="109">
      <c r="A942" s="72" t="inlineStr">
        <is>
          <t>https://www.instagram.com/p/DTaH97iCN6n/</t>
        </is>
      </c>
      <c r="B942" s="72" t="inlineStr">
        <is>
          <t>Culture &amp; Loisirs</t>
        </is>
      </c>
      <c r="C942" s="72" t="inlineStr">
        <is>
          <t>Arts</t>
        </is>
      </c>
      <c r="D942" s="73" t="n">
        <v>40</v>
      </c>
      <c r="E942" s="73" t="inlineStr">
        <is>
          <t>N</t>
        </is>
      </c>
      <c r="F942" s="72" t="inlineStr">
        <is>
          <t>RTS rapporte des prix cinématographiques avec un film et des discours à forte teneur sociopolitique.</t>
        </is>
      </c>
      <c r="G942" s="73" t="inlineStr">
        <is>
          <t>Non</t>
        </is>
      </c>
      <c r="H942" s="72" t="n"/>
      <c r="I942" s="73" t="n">
        <v>0</v>
      </c>
      <c r="J942" s="73" t="n">
        <v>4</v>
      </c>
      <c r="K942" s="74">
        <f>IFERROR(I942/J942,0)</f>
        <v/>
      </c>
      <c r="L942" s="73" t="n">
        <v>4</v>
      </c>
      <c r="M942" s="73" t="n">
        <v>1437</v>
      </c>
      <c r="N942" s="73" t="n">
        <v>0</v>
      </c>
      <c r="O942" s="72" t="inlineStr">
        <is>
          <t>Image_Carrousel</t>
        </is>
      </c>
    </row>
    <row r="943" ht="13.5" customHeight="1" s="109">
      <c r="A943" s="35" t="inlineStr">
        <is>
          <t>https://www.instagram.com/p/DTYMR7EgfYI/</t>
        </is>
      </c>
      <c r="B943" s="35" t="inlineStr">
        <is>
          <t>Environnement &amp; Nature</t>
        </is>
      </c>
      <c r="C943" s="35" t="inlineStr">
        <is>
          <t>Climat / Ecologie</t>
        </is>
      </c>
      <c r="D943" s="36" t="n">
        <v>50</v>
      </c>
      <c r="E943" s="36" t="inlineStr">
        <is>
          <t>N</t>
        </is>
      </c>
      <c r="F943" s="35" t="inlineStr">
        <is>
          <t>RTS publie une nouvelle factuelle et positive sur la conservation d'une espèce, sans biais notable.</t>
        </is>
      </c>
      <c r="G943" s="36" t="inlineStr">
        <is>
          <t>Non</t>
        </is>
      </c>
      <c r="H943" s="35" t="n"/>
      <c r="I943" s="36" t="n">
        <v>0</v>
      </c>
      <c r="J943" s="36" t="n">
        <v>10</v>
      </c>
      <c r="K943" s="74">
        <f>IFERROR(I943/J943,0)</f>
        <v/>
      </c>
      <c r="L943" s="36" t="n">
        <v>13</v>
      </c>
      <c r="M943" s="36" t="n">
        <v>7588</v>
      </c>
      <c r="N943" s="36" t="n">
        <v>0</v>
      </c>
      <c r="O943" s="35" t="inlineStr">
        <is>
          <t>Image_Carrousel</t>
        </is>
      </c>
    </row>
    <row r="944" ht="13.5" customHeight="1" s="109">
      <c r="A944" s="72" t="inlineStr">
        <is>
          <t>https://www.instagram.com/p/DTXY4Z4AuXV/</t>
        </is>
      </c>
      <c r="B944" s="72" t="inlineStr">
        <is>
          <t>Sante</t>
        </is>
      </c>
      <c r="C944" s="72" t="inlineStr">
        <is>
          <t>Sante publique</t>
        </is>
      </c>
      <c r="D944" s="73" t="n">
        <v>55</v>
      </c>
      <c r="E944" s="73" t="inlineStr">
        <is>
          <t>N</t>
        </is>
      </c>
      <c r="F944" s="72" t="inlineStr">
        <is>
          <t>Article informatif et sensibilisant sur un sujet de santé publique peu abordé, brisant un tabou.</t>
        </is>
      </c>
      <c r="G944" s="73" t="inlineStr">
        <is>
          <t>Oui</t>
        </is>
      </c>
      <c r="H944" s="72" t="inlineStr">
        <is>
          <t>Remet en question le focus du sujet, suggérant une simplification des causes.</t>
        </is>
      </c>
      <c r="I944" s="73" t="n">
        <v>1</v>
      </c>
      <c r="J944" s="73" t="n">
        <v>6</v>
      </c>
      <c r="K944" s="74">
        <f>IFERROR(I944/J944,0)</f>
        <v/>
      </c>
      <c r="L944" s="73" t="n">
        <v>160</v>
      </c>
      <c r="M944" s="73" t="n">
        <v>6115</v>
      </c>
      <c r="N944" s="73" t="n">
        <v>272343</v>
      </c>
      <c r="O944" s="72" t="inlineStr">
        <is>
          <t>Video</t>
        </is>
      </c>
    </row>
    <row r="945" ht="13.5" customHeight="1" s="109">
      <c r="A945" s="35" t="inlineStr">
        <is>
          <t>https://www.instagram.com/p/DTVuWwwjWTX/</t>
        </is>
      </c>
      <c r="B945" s="35" t="inlineStr">
        <is>
          <t>Culture &amp; Loisirs</t>
        </is>
      </c>
      <c r="C945" s="35" t="inlineStr">
        <is>
          <t>Arts</t>
        </is>
      </c>
      <c r="D945" s="36" t="n">
        <v>50</v>
      </c>
      <c r="E945" s="36" t="inlineStr">
        <is>
          <t>N</t>
        </is>
      </c>
      <c r="F945" s="35" t="inlineStr">
        <is>
          <t>Reportage factuel sur un phénomène de culture populaire et son anniversaire.</t>
        </is>
      </c>
      <c r="G945" s="36" t="inlineStr">
        <is>
          <t>Oui</t>
        </is>
      </c>
      <c r="H945" s="35" t="inlineStr">
        <is>
          <t>Le commentaire corrige l'attribution de la nostalgie à la mauvaise génération.</t>
        </is>
      </c>
      <c r="I945" s="36" t="n">
        <v>1</v>
      </c>
      <c r="J945" s="36" t="n">
        <v>6</v>
      </c>
      <c r="K945" s="74">
        <f>IFERROR(I945/J945,0)</f>
        <v/>
      </c>
      <c r="L945" s="36" t="n">
        <v>7</v>
      </c>
      <c r="M945" s="36" t="n">
        <v>2091</v>
      </c>
      <c r="N945" s="36" t="n">
        <v>33557</v>
      </c>
      <c r="O945" s="35" t="inlineStr">
        <is>
          <t>Video</t>
        </is>
      </c>
    </row>
    <row r="946" ht="13.5" customHeight="1" s="109">
      <c r="A946" s="72" t="inlineStr">
        <is>
          <t>https://www.instagram.com/p/DTYTH_VDhZ2/</t>
        </is>
      </c>
      <c r="B946" s="72" t="inlineStr">
        <is>
          <t>Environnement &amp; Nature</t>
        </is>
      </c>
      <c r="C946" s="72" t="inlineStr">
        <is>
          <t>Climat / Ecologie</t>
        </is>
      </c>
      <c r="D946" s="73" t="n">
        <v>40</v>
      </c>
      <c r="E946" s="73" t="inlineStr">
        <is>
          <t>N</t>
        </is>
      </c>
      <c r="F946" s="72" t="inlineStr">
        <is>
          <t>Média public suisse, réputé neutre avec une légère tendance progressiste sur ces sujets.</t>
        </is>
      </c>
      <c r="G946" s="73" t="inlineStr">
        <is>
          <t>Oui</t>
        </is>
      </c>
      <c r="H946" s="72" t="inlineStr">
        <is>
          <t>Le média n'identifie pas assez clairement les causes anthropiques.</t>
        </is>
      </c>
      <c r="I946" s="73" t="n">
        <v>2</v>
      </c>
      <c r="J946" s="73" t="n">
        <v>6</v>
      </c>
      <c r="K946" s="74">
        <f>IFERROR(I946/J946,0)</f>
        <v/>
      </c>
      <c r="L946" s="73" t="n">
        <v>41</v>
      </c>
      <c r="M946" s="73" t="n">
        <v>4376</v>
      </c>
      <c r="N946" s="73" t="n">
        <v>0</v>
      </c>
      <c r="O946" s="72" t="inlineStr">
        <is>
          <t>Image_Carrousel</t>
        </is>
      </c>
    </row>
    <row r="947" ht="13.5" customHeight="1" s="109">
      <c r="A947" s="35" t="inlineStr">
        <is>
          <t>https://www.instagram.com/p/DTaH5aiDTrV/</t>
        </is>
      </c>
      <c r="B947" s="35" t="inlineStr">
        <is>
          <t>Securite &amp; Justice</t>
        </is>
      </c>
      <c r="C947" s="35" t="inlineStr">
        <is>
          <t>Ordre public</t>
        </is>
      </c>
      <c r="D947" s="36" t="n">
        <v>50</v>
      </c>
      <c r="E947" s="36" t="inlineStr">
        <is>
          <t>N</t>
        </is>
      </c>
      <c r="F947" s="35" t="inlineStr">
        <is>
          <t>Factual report on avalanche deaths, official warnings, and rescue operations.</t>
        </is>
      </c>
      <c r="G947" s="36" t="inlineStr">
        <is>
          <t>Non</t>
        </is>
      </c>
      <c r="H947" s="35" t="inlineStr">
        <is>
          <t>Aucune critique explicite du média.</t>
        </is>
      </c>
      <c r="I947" s="36" t="n">
        <v>0</v>
      </c>
      <c r="J947" s="36" t="n">
        <v>10</v>
      </c>
      <c r="K947" s="74">
        <f>IFERROR(I947/J947,0)</f>
        <v/>
      </c>
      <c r="L947" s="36" t="n">
        <v>43</v>
      </c>
      <c r="M947" s="36" t="n">
        <v>8198</v>
      </c>
      <c r="N947" s="36" t="n">
        <v>0</v>
      </c>
      <c r="O947" s="35" t="inlineStr">
        <is>
          <t>Image_Carrousel</t>
        </is>
      </c>
    </row>
    <row r="948" ht="13.5" customHeight="1" s="109">
      <c r="A948" s="72" t="inlineStr">
        <is>
          <t>https://www.instagram.com/p/DTU-RLnDPnA/</t>
        </is>
      </c>
      <c r="B948" s="72" t="inlineStr">
        <is>
          <t>Politique &amp; Institutions</t>
        </is>
      </c>
      <c r="C948" s="72" t="inlineStr">
        <is>
          <t>Autorites</t>
        </is>
      </c>
      <c r="D948" s="73" t="n">
        <v>50</v>
      </c>
      <c r="E948" s="73" t="inlineStr">
        <is>
          <t>N</t>
        </is>
      </c>
      <c r="F948" s="72" t="inlineStr">
        <is>
          <t>Diffuseur public suisse, réputé pour son objectivité et son équilibre.</t>
        </is>
      </c>
      <c r="G948" s="73" t="inlineStr">
        <is>
          <t>Non</t>
        </is>
      </c>
      <c r="H948" s="72" t="n"/>
      <c r="I948" s="73" t="n">
        <v>0</v>
      </c>
      <c r="J948" s="73" t="n">
        <v>6</v>
      </c>
      <c r="K948" s="74">
        <f>IFERROR(I948/J948,0)</f>
        <v/>
      </c>
      <c r="L948" s="73" t="n">
        <v>70</v>
      </c>
      <c r="M948" s="73" t="n">
        <v>3627</v>
      </c>
      <c r="N948" s="73" t="n">
        <v>0</v>
      </c>
      <c r="O948" s="72" t="inlineStr">
        <is>
          <t>Image_Carrousel</t>
        </is>
      </c>
    </row>
    <row r="949" ht="13.5" customHeight="1" s="109">
      <c r="A949" s="35" t="inlineStr">
        <is>
          <t>https://www.instagram.com/p/DTVMk2FCT_6/</t>
        </is>
      </c>
      <c r="B949" s="35" t="inlineStr">
        <is>
          <t>International</t>
        </is>
      </c>
      <c r="C949" s="35" t="inlineStr">
        <is>
          <t>Geopolitique</t>
        </is>
      </c>
      <c r="D949" s="36" t="n">
        <v>50</v>
      </c>
      <c r="E949" s="36" t="inlineStr">
        <is>
          <t>N</t>
        </is>
      </c>
      <c r="F949" s="35" t="inlineStr">
        <is>
          <t>Rapportage factuel, citant diverses sources internationales et figures d'opposition.</t>
        </is>
      </c>
      <c r="G949" s="36" t="inlineStr">
        <is>
          <t>Oui</t>
        </is>
      </c>
      <c r="H949" s="35" t="inlineStr">
        <is>
          <t>Manque de chiffres précis sur les victimes des violences.</t>
        </is>
      </c>
      <c r="I949" s="36" t="n">
        <v>1</v>
      </c>
      <c r="J949" s="36" t="n">
        <v>5</v>
      </c>
      <c r="K949" s="74">
        <f>IFERROR(I949/J949,0)</f>
        <v/>
      </c>
      <c r="L949" s="36" t="n">
        <v>213</v>
      </c>
      <c r="M949" s="36" t="n">
        <v>6263</v>
      </c>
      <c r="N949" s="36" t="n">
        <v>0</v>
      </c>
      <c r="O949" s="35" t="inlineStr">
        <is>
          <t>Image_Carrousel</t>
        </is>
      </c>
    </row>
    <row r="950" ht="13.5" customHeight="1" s="109">
      <c r="A950" s="72" t="inlineStr">
        <is>
          <t>https://www.instagram.com/p/DTXHs_MCWLM/</t>
        </is>
      </c>
      <c r="B950" s="72" t="inlineStr">
        <is>
          <t>Securite &amp; Justice</t>
        </is>
      </c>
      <c r="C950" s="72" t="inlineStr">
        <is>
          <t>Justice</t>
        </is>
      </c>
      <c r="D950" s="73" t="n">
        <v>50</v>
      </c>
      <c r="E950" s="73" t="inlineStr">
        <is>
          <t>N</t>
        </is>
      </c>
      <c r="F950" s="72" t="inlineStr">
        <is>
          <t>Article investigatif neutre, met en lumière des manquements systémiques.</t>
        </is>
      </c>
      <c r="G950" s="73" t="inlineStr">
        <is>
          <t>Non</t>
        </is>
      </c>
      <c r="H950" s="72" t="n"/>
      <c r="I950" s="73" t="n">
        <v>0</v>
      </c>
      <c r="J950" s="73" t="n">
        <v>7</v>
      </c>
      <c r="K950" s="74">
        <f>IFERROR(I950/J950,0)</f>
        <v/>
      </c>
      <c r="L950" s="73" t="n">
        <v>144</v>
      </c>
      <c r="M950" s="73" t="n">
        <v>8047</v>
      </c>
      <c r="N950" s="73" t="n">
        <v>202020</v>
      </c>
      <c r="O950" s="72" t="inlineStr">
        <is>
          <t>Video</t>
        </is>
      </c>
    </row>
    <row r="951" ht="13.5" customHeight="1" s="109">
      <c r="A951" s="35" t="inlineStr">
        <is>
          <t>https://www.instagram.com/p/DTXw3Z5gqts/</t>
        </is>
      </c>
      <c r="B951" s="35" t="inlineStr">
        <is>
          <t>Securite &amp; Justice</t>
        </is>
      </c>
      <c r="C951" s="35" t="inlineStr">
        <is>
          <t>Ordre public</t>
        </is>
      </c>
      <c r="D951" s="36" t="n">
        <v>50</v>
      </c>
      <c r="E951" s="36" t="inlineStr">
        <is>
          <t>N</t>
        </is>
      </c>
      <c r="F951" s="35" t="inlineStr">
        <is>
          <t>Service public, article factuel et historique sur une mesure de sécurité.</t>
        </is>
      </c>
      <c r="G951" s="36" t="inlineStr">
        <is>
          <t>Non</t>
        </is>
      </c>
      <c r="H951" s="35" t="n"/>
      <c r="I951" s="36" t="n">
        <v>0</v>
      </c>
      <c r="J951" s="36" t="n">
        <v>6</v>
      </c>
      <c r="K951" s="74">
        <f>IFERROR(I951/J951,0)</f>
        <v/>
      </c>
      <c r="L951" s="36" t="n">
        <v>39</v>
      </c>
      <c r="M951" s="36" t="n">
        <v>5830</v>
      </c>
      <c r="N951" s="36" t="n">
        <v>0</v>
      </c>
      <c r="O951" s="35" t="inlineStr">
        <is>
          <t>Image_Carrousel</t>
        </is>
      </c>
    </row>
    <row r="952" ht="13.5" customHeight="1" s="109">
      <c r="A952" s="72" t="inlineStr">
        <is>
          <t>https://www.instagram.com/p/DTVFImEDaIW/</t>
        </is>
      </c>
      <c r="B952" s="72" t="inlineStr">
        <is>
          <t>Securite &amp; Justice</t>
        </is>
      </c>
      <c r="C952" s="72" t="inlineStr">
        <is>
          <t>Ordre public</t>
        </is>
      </c>
      <c r="D952" s="73" t="n">
        <v>50</v>
      </c>
      <c r="E952" s="73" t="inlineStr">
        <is>
          <t>N</t>
        </is>
      </c>
      <c r="F952" s="72" t="inlineStr">
        <is>
          <t>Article factuel et informatif sur la sécurité publique par un média de service public.</t>
        </is>
      </c>
      <c r="G952" s="73" t="inlineStr">
        <is>
          <t>Non</t>
        </is>
      </c>
      <c r="H952" s="72" t="n"/>
      <c r="I952" s="73" t="n">
        <v>0</v>
      </c>
      <c r="J952" s="73" t="n">
        <v>3</v>
      </c>
      <c r="K952" s="74">
        <f>IFERROR(I952/J952,0)</f>
        <v/>
      </c>
      <c r="L952" s="73" t="n">
        <v>89</v>
      </c>
      <c r="M952" s="73" t="n">
        <v>5567</v>
      </c>
      <c r="N952" s="73" t="n">
        <v>0</v>
      </c>
      <c r="O952" s="72" t="inlineStr">
        <is>
          <t>Image_Carrousel</t>
        </is>
      </c>
    </row>
    <row r="953" ht="13.5" customHeight="1" s="109">
      <c r="A953" s="35" t="inlineStr">
        <is>
          <t>https://www.instagram.com/p/DTVnjcRjRFd/</t>
        </is>
      </c>
      <c r="B953" s="35" t="inlineStr">
        <is>
          <t>Sante</t>
        </is>
      </c>
      <c r="C953" s="35" t="inlineStr">
        <is>
          <t>Sante publique</t>
        </is>
      </c>
      <c r="D953" s="36" t="n">
        <v>50</v>
      </c>
      <c r="E953" s="36" t="inlineStr">
        <is>
          <t>N</t>
        </is>
      </c>
      <c r="F953" s="35" t="inlineStr">
        <is>
          <t>Média public, article informatif sur une innovation en santé sans biais apparent.</t>
        </is>
      </c>
      <c r="G953" s="36" t="inlineStr">
        <is>
          <t>Non</t>
        </is>
      </c>
      <c r="H953" s="35" t="n"/>
      <c r="I953" s="36" t="n">
        <v>0</v>
      </c>
      <c r="J953" s="36" t="n">
        <v>7</v>
      </c>
      <c r="K953" s="74">
        <f>IFERROR(I953/J953,0)</f>
        <v/>
      </c>
      <c r="L953" s="36" t="n">
        <v>404</v>
      </c>
      <c r="M953" s="36" t="n">
        <v>70648</v>
      </c>
      <c r="N953" s="36" t="n">
        <v>776930</v>
      </c>
      <c r="O953" s="35" t="inlineStr">
        <is>
          <t>Video</t>
        </is>
      </c>
    </row>
    <row r="954" ht="13.5" customHeight="1" s="109">
      <c r="A954" s="72" t="inlineStr">
        <is>
          <t>https://www.instagram.com/p/DTXjDppD3oZ/</t>
        </is>
      </c>
      <c r="B954" s="72" t="inlineStr">
        <is>
          <t>Securite &amp; Justice</t>
        </is>
      </c>
      <c r="C954" s="72" t="inlineStr">
        <is>
          <t>Activites de Police</t>
        </is>
      </c>
      <c r="D954" s="73" t="n">
        <v>45</v>
      </c>
      <c r="E954" s="73" t="inlineStr">
        <is>
          <t>N</t>
        </is>
      </c>
      <c r="F954" s="72" t="inlineStr">
        <is>
          <t>RTS, média public, rapporte faits de police sans biais apparent.</t>
        </is>
      </c>
      <c r="G954" s="73" t="inlineStr">
        <is>
          <t>Non</t>
        </is>
      </c>
      <c r="H954" s="72" t="inlineStr">
        <is>
          <t>Aucun reproche direct ou indirect au traitement médiatique.</t>
        </is>
      </c>
      <c r="I954" s="73" t="n">
        <v>0</v>
      </c>
      <c r="J954" s="73" t="n">
        <v>9</v>
      </c>
      <c r="K954" s="74">
        <f>IFERROR(I954/J954,0)</f>
        <v/>
      </c>
      <c r="L954" s="73" t="n">
        <v>130</v>
      </c>
      <c r="M954" s="73" t="n">
        <v>16245</v>
      </c>
      <c r="N954" s="73" t="n">
        <v>0</v>
      </c>
      <c r="O954" s="72" t="inlineStr">
        <is>
          <t>Image_Carrousel</t>
        </is>
      </c>
    </row>
    <row r="955" ht="13.5" customHeight="1" s="109">
      <c r="A955" s="35" t="inlineStr">
        <is>
          <t>https://www.instagram.com/p/DTSt3rQDBwQ/</t>
        </is>
      </c>
      <c r="B955" s="35" t="inlineStr">
        <is>
          <t>Societe &amp; Droits</t>
        </is>
      </c>
      <c r="C955" s="35" t="inlineStr">
        <is>
          <t>Faits de societe</t>
        </is>
      </c>
      <c r="D955" s="36" t="n">
        <v>50</v>
      </c>
      <c r="E955" s="36" t="inlineStr">
        <is>
          <t>N</t>
        </is>
      </c>
      <c r="F955" s="35" t="inlineStr">
        <is>
          <t>RTS, service public, adopte un ton neutre et informatif face à un drame national.</t>
        </is>
      </c>
      <c r="G955" s="36" t="inlineStr">
        <is>
          <t>Oui</t>
        </is>
      </c>
      <c r="H955" s="35" t="inlineStr">
        <is>
          <t>Un commentaire accuse le canton et les journalistes d'orienter les accusations.</t>
        </is>
      </c>
      <c r="I955" s="36" t="n">
        <v>1</v>
      </c>
      <c r="J955" s="36" t="n">
        <v>9</v>
      </c>
      <c r="K955" s="74">
        <f>IFERROR(I955/J955,0)</f>
        <v/>
      </c>
      <c r="L955" s="36" t="n">
        <v>2599</v>
      </c>
      <c r="M955" s="36" t="n">
        <v>149304</v>
      </c>
      <c r="N955" s="36" t="n">
        <v>892151</v>
      </c>
      <c r="O955" s="35" t="inlineStr">
        <is>
          <t>Video</t>
        </is>
      </c>
    </row>
    <row r="956" ht="13.5" customHeight="1" s="109">
      <c r="A956" s="72" t="inlineStr">
        <is>
          <t>https://www.instagram.com/p/DTVe0e9DEIl/</t>
        </is>
      </c>
      <c r="B956" s="72" t="inlineStr">
        <is>
          <t>Securite &amp; Justice</t>
        </is>
      </c>
      <c r="C956" s="72" t="inlineStr">
        <is>
          <t>Justice</t>
        </is>
      </c>
      <c r="D956" s="73" t="n">
        <v>55</v>
      </c>
      <c r="E956" s="73" t="inlineStr">
        <is>
          <t>N</t>
        </is>
      </c>
      <c r="F956" s="72" t="inlineStr">
        <is>
          <t>RTS rapporte des faits d'enquête judiciaire sur une tragédie sans parti pris.</t>
        </is>
      </c>
      <c r="G956" s="73" t="inlineStr">
        <is>
          <t>Non</t>
        </is>
      </c>
      <c r="H956" s="72" t="n"/>
      <c r="I956" s="73" t="n">
        <v>0</v>
      </c>
      <c r="J956" s="73" t="n">
        <v>7</v>
      </c>
      <c r="K956" s="74">
        <f>IFERROR(I956/J956,0)</f>
        <v/>
      </c>
      <c r="L956" s="73" t="n">
        <v>163</v>
      </c>
      <c r="M956" s="73" t="n">
        <v>9896</v>
      </c>
      <c r="N956" s="73" t="n">
        <v>0</v>
      </c>
      <c r="O956" s="72" t="inlineStr">
        <is>
          <t>Image_Carrousel</t>
        </is>
      </c>
    </row>
    <row r="957" ht="13.5" customHeight="1" s="109">
      <c r="A957" s="35" t="inlineStr">
        <is>
          <t>https://www.instagram.com/p/DTTJmMRjh1_/</t>
        </is>
      </c>
      <c r="B957" s="35" t="inlineStr">
        <is>
          <t>Societe &amp; Droits</t>
        </is>
      </c>
      <c r="C957" s="35" t="inlineStr">
        <is>
          <t>Faits de societe</t>
        </is>
      </c>
      <c r="D957" s="36" t="n">
        <v>45</v>
      </c>
      <c r="E957" s="36" t="inlineStr">
        <is>
          <t>N</t>
        </is>
      </c>
      <c r="F957" s="35" t="inlineStr">
        <is>
          <t>Service public. Ton neutre et respectueux, rapporte un événement national solennel.</t>
        </is>
      </c>
      <c r="G957" s="36" t="inlineStr">
        <is>
          <t>Oui</t>
        </is>
      </c>
      <c r="H957" s="35" t="inlineStr">
        <is>
          <t>Le media n'aurait pas abordé les 'vrais' sujets du drame.</t>
        </is>
      </c>
      <c r="I957" s="36" t="n">
        <v>1</v>
      </c>
      <c r="J957" s="36" t="n">
        <v>6</v>
      </c>
      <c r="K957" s="74">
        <f>IFERROR(I957/J957,0)</f>
        <v/>
      </c>
      <c r="L957" s="36" t="n">
        <v>63</v>
      </c>
      <c r="M957" s="36" t="n">
        <v>15560</v>
      </c>
      <c r="N957" s="36" t="n">
        <v>0</v>
      </c>
      <c r="O957" s="35" t="inlineStr">
        <is>
          <t>Image_Carrousel</t>
        </is>
      </c>
    </row>
    <row r="958" ht="13.5" customHeight="1" s="109">
      <c r="A958" s="72" t="inlineStr">
        <is>
          <t>https://www.instagram.com/p/DTS2sbsAjzx/</t>
        </is>
      </c>
      <c r="B958" s="72" t="inlineStr">
        <is>
          <t>Securite &amp; Justice</t>
        </is>
      </c>
      <c r="C958" s="72" t="inlineStr">
        <is>
          <t>Justice</t>
        </is>
      </c>
      <c r="D958" s="73" t="n">
        <v>50</v>
      </c>
      <c r="E958" s="73" t="inlineStr">
        <is>
          <t>N</t>
        </is>
      </c>
      <c r="F958" s="72" t="inlineStr">
        <is>
          <t>Média public suisse, vise la neutralité et l'impartialité de l'information.</t>
        </is>
      </c>
      <c r="G958" s="73" t="inlineStr">
        <is>
          <t>Non</t>
        </is>
      </c>
      <c r="H958" s="72" t="n"/>
      <c r="I958" s="73" t="n">
        <v>0</v>
      </c>
      <c r="J958" s="73" t="n">
        <v>0</v>
      </c>
      <c r="K958" s="74">
        <f>IFERROR(I958/J958,0)</f>
        <v/>
      </c>
      <c r="L958" s="73" t="n">
        <v>705</v>
      </c>
      <c r="M958" s="73" t="n">
        <v>26290</v>
      </c>
      <c r="N958" s="73" t="n">
        <v>1670335</v>
      </c>
      <c r="O958" s="72" t="inlineStr">
        <is>
          <t>Video</t>
        </is>
      </c>
    </row>
    <row r="959" ht="13.5" customHeight="1" s="109">
      <c r="A959" s="35" t="inlineStr">
        <is>
          <t>https://www.instagram.com/p/DTTDLWujN7c/</t>
        </is>
      </c>
      <c r="B959" s="35" t="inlineStr">
        <is>
          <t>Societe &amp; Droits</t>
        </is>
      </c>
      <c r="C959" s="35" t="inlineStr">
        <is>
          <t>Faits de societe</t>
        </is>
      </c>
      <c r="D959" s="36" t="n">
        <v>50</v>
      </c>
      <c r="E959" s="36" t="inlineStr">
        <is>
          <t>N</t>
        </is>
      </c>
      <c r="F959" s="35" t="inlineStr">
        <is>
          <t>RTS, service public, rapporte un événement tragique avec une perspective humaine et solidaire.</t>
        </is>
      </c>
      <c r="G959" s="36" t="inlineStr">
        <is>
          <t>Non</t>
        </is>
      </c>
      <c r="H959" s="35" t="n"/>
      <c r="I959" s="36" t="n">
        <v>0</v>
      </c>
      <c r="J959" s="36" t="n">
        <v>10</v>
      </c>
      <c r="K959" s="74">
        <f>IFERROR(I959/J959,0)</f>
        <v/>
      </c>
      <c r="L959" s="36" t="n">
        <v>344</v>
      </c>
      <c r="M959" s="36" t="n">
        <v>27589</v>
      </c>
      <c r="N959" s="36" t="n">
        <v>190645</v>
      </c>
      <c r="O959" s="35" t="inlineStr">
        <is>
          <t>Video</t>
        </is>
      </c>
    </row>
    <row r="960" ht="13.5" customHeight="1" s="109">
      <c r="A960" s="72" t="inlineStr">
        <is>
          <t>https://www.instagram.com/p/DTS79ENilR9/</t>
        </is>
      </c>
      <c r="B960" s="72" t="inlineStr">
        <is>
          <t>Societe &amp; Droits</t>
        </is>
      </c>
      <c r="C960" s="72" t="inlineStr">
        <is>
          <t>Faits de societe</t>
        </is>
      </c>
      <c r="D960" s="73" t="n">
        <v>45</v>
      </c>
      <c r="E960" s="73" t="inlineStr">
        <is>
          <t>N</t>
        </is>
      </c>
      <c r="F960" s="72" t="inlineStr">
        <is>
          <t>Média public suisse, couverture factuelle et émotionnelle neutre d'un drame humain.</t>
        </is>
      </c>
      <c r="G960" s="73" t="inlineStr">
        <is>
          <t>Non</t>
        </is>
      </c>
      <c r="H960" s="72" t="inlineStr">
        <is>
          <t>Aucune critique exprimée.</t>
        </is>
      </c>
      <c r="I960" s="73" t="n">
        <v>0</v>
      </c>
      <c r="J960" s="73" t="n">
        <v>9</v>
      </c>
      <c r="K960" s="74">
        <f>IFERROR(I960/J960,0)</f>
        <v/>
      </c>
      <c r="L960" s="73" t="n">
        <v>377</v>
      </c>
      <c r="M960" s="73" t="n">
        <v>34742</v>
      </c>
      <c r="N960" s="73" t="n">
        <v>248146</v>
      </c>
      <c r="O960" s="72" t="inlineStr">
        <is>
          <t>Video</t>
        </is>
      </c>
    </row>
    <row r="961" ht="13.5" customHeight="1" s="109">
      <c r="A961" s="35" t="inlineStr">
        <is>
          <t>https://www.instagram.com/p/DTUi8EKkzDB/</t>
        </is>
      </c>
      <c r="B961" s="35" t="inlineStr">
        <is>
          <t>Securite &amp; Justice</t>
        </is>
      </c>
      <c r="C961" s="35" t="inlineStr">
        <is>
          <t>Ordre public</t>
        </is>
      </c>
      <c r="D961" s="36" t="n">
        <v>40</v>
      </c>
      <c r="E961" s="36" t="inlineStr">
        <is>
          <t>G</t>
        </is>
      </c>
      <c r="F961" s="35" t="inlineStr">
        <is>
          <t>Service public, met en avant la résilience individuelle et le devoir civique face au drame.</t>
        </is>
      </c>
      <c r="G961" s="36" t="inlineStr">
        <is>
          <t>Non</t>
        </is>
      </c>
      <c r="H961" s="35" t="inlineStr">
        <is>
          <t>Aucune critique du média dans les commentaires fournis.</t>
        </is>
      </c>
      <c r="I961" s="36" t="n">
        <v>0</v>
      </c>
      <c r="J961" s="36" t="n">
        <v>9</v>
      </c>
      <c r="K961" s="74">
        <f>IFERROR(I961/J961,0)</f>
        <v/>
      </c>
      <c r="L961" s="36" t="n">
        <v>149</v>
      </c>
      <c r="M961" s="36" t="n">
        <v>13399</v>
      </c>
      <c r="N961" s="36" t="n">
        <v>193527</v>
      </c>
      <c r="O961" s="35" t="inlineStr">
        <is>
          <t>Video</t>
        </is>
      </c>
    </row>
    <row r="962" ht="13.5" customHeight="1" s="109">
      <c r="A962" s="72" t="inlineStr">
        <is>
          <t>https://www.instagram.com/p/DTSu_KBjVMa/</t>
        </is>
      </c>
      <c r="B962" s="72" t="inlineStr">
        <is>
          <t>Securite &amp; Justice</t>
        </is>
      </c>
      <c r="C962" s="72" t="inlineStr">
        <is>
          <t>Justice</t>
        </is>
      </c>
      <c r="D962" s="73" t="n">
        <v>45</v>
      </c>
      <c r="E962" s="73" t="inlineStr">
        <is>
          <t>N</t>
        </is>
      </c>
      <c r="F962" s="72" t="inlineStr">
        <is>
          <t>RTS, média public suisse, réputé pour sa couverture factuelle et impartialité.</t>
        </is>
      </c>
      <c r="G962" s="73" t="inlineStr">
        <is>
          <t>Non</t>
        </is>
      </c>
      <c r="H962" s="72" t="n"/>
      <c r="I962" s="73" t="n">
        <v>0</v>
      </c>
      <c r="J962" s="73" t="n">
        <v>8</v>
      </c>
      <c r="K962" s="74">
        <f>IFERROR(I962/J962,0)</f>
        <v/>
      </c>
      <c r="L962" s="73" t="n">
        <v>401</v>
      </c>
      <c r="M962" s="73" t="n">
        <v>18491</v>
      </c>
      <c r="N962" s="73" t="n">
        <v>0</v>
      </c>
      <c r="O962" s="72" t="inlineStr">
        <is>
          <t>Image_Carrousel</t>
        </is>
      </c>
    </row>
    <row r="963" ht="13.5" customHeight="1" s="109">
      <c r="A963" s="35" t="inlineStr">
        <is>
          <t>https://www.instagram.com/p/DTSYSVajg8-/</t>
        </is>
      </c>
      <c r="B963" s="35" t="inlineStr">
        <is>
          <t>Societe &amp; Droits</t>
        </is>
      </c>
      <c r="C963" s="35" t="inlineStr">
        <is>
          <t>Faits de societe</t>
        </is>
      </c>
      <c r="D963" s="36" t="n">
        <v>45</v>
      </c>
      <c r="E963" s="36" t="inlineStr">
        <is>
          <t>N</t>
        </is>
      </c>
      <c r="F963" s="35" t="inlineStr">
        <is>
          <t>Média public suisse, ton neutre et informatif sur une tragédie.</t>
        </is>
      </c>
      <c r="G963" s="36" t="inlineStr">
        <is>
          <t>Non</t>
        </is>
      </c>
      <c r="H963" s="35" t="n"/>
      <c r="I963" s="36" t="n">
        <v>0</v>
      </c>
      <c r="J963" s="36" t="n">
        <v>10</v>
      </c>
      <c r="K963" s="74">
        <f>IFERROR(I963/J963,0)</f>
        <v/>
      </c>
      <c r="L963" s="36" t="n">
        <v>76</v>
      </c>
      <c r="M963" s="36" t="n">
        <v>15234</v>
      </c>
      <c r="N963" s="36" t="n">
        <v>0</v>
      </c>
      <c r="O963" s="35" t="inlineStr">
        <is>
          <t>Image_Carrousel</t>
        </is>
      </c>
    </row>
    <row r="964" ht="13.5" customHeight="1" s="109">
      <c r="A964" s="72" t="inlineStr">
        <is>
          <t>https://www.instagram.com/p/DTVgmpJD4Sz/</t>
        </is>
      </c>
      <c r="B964" s="72" t="inlineStr">
        <is>
          <t>Environnement &amp; Nature</t>
        </is>
      </c>
      <c r="C964" s="72" t="inlineStr">
        <is>
          <t>Climat / Ecologie</t>
        </is>
      </c>
      <c r="D964" s="73" t="n">
        <v>40</v>
      </c>
      <c r="E964" s="73" t="inlineStr">
        <is>
          <t>N</t>
        </is>
      </c>
      <c r="F964" s="72" t="inlineStr">
        <is>
          <t>Média public, sensibilise à la protection environnementale et déconstruit des mythes courants.</t>
        </is>
      </c>
      <c r="G964" s="73" t="inlineStr">
        <is>
          <t>Oui</t>
        </is>
      </c>
      <c r="H964" s="72" t="inlineStr">
        <is>
          <t>Comparaison d'espèces jugée inappropriée et problème de lisibilité du contenu.</t>
        </is>
      </c>
      <c r="I964" s="73" t="n">
        <v>5</v>
      </c>
      <c r="J964" s="73" t="n">
        <v>6</v>
      </c>
      <c r="K964" s="74">
        <f>IFERROR(I964/J964,0)</f>
        <v/>
      </c>
      <c r="L964" s="73" t="n">
        <v>27</v>
      </c>
      <c r="M964" s="73" t="n">
        <v>3831</v>
      </c>
      <c r="N964" s="73" t="n">
        <v>0</v>
      </c>
      <c r="O964" s="72" t="inlineStr">
        <is>
          <t>Image_Carrousel</t>
        </is>
      </c>
    </row>
    <row r="965" ht="13.5" customHeight="1" s="109">
      <c r="A965" s="35" t="inlineStr">
        <is>
          <t>https://www.instagram.com/p/DTS1KfGCoMb/</t>
        </is>
      </c>
      <c r="B965" s="35" t="inlineStr">
        <is>
          <t>Societe &amp; Droits</t>
        </is>
      </c>
      <c r="C965" s="35" t="inlineStr">
        <is>
          <t>Faits de societe</t>
        </is>
      </c>
      <c r="D965" s="36" t="n">
        <v>45</v>
      </c>
      <c r="E965" s="36" t="inlineStr">
        <is>
          <t>N</t>
        </is>
      </c>
      <c r="F965" s="35" t="inlineStr">
        <is>
          <t>RTS est un média de service public suisse, cherchant la neutralité et l'information factuelle.</t>
        </is>
      </c>
      <c r="G965" s="36" t="inlineStr">
        <is>
          <t>Non</t>
        </is>
      </c>
      <c r="H965" s="35" t="inlineStr">
        <is>
          <t>Aucun commentaire ne critique le média RTS directement.</t>
        </is>
      </c>
      <c r="I965" s="36" t="n">
        <v>0</v>
      </c>
      <c r="J965" s="36" t="n">
        <v>8</v>
      </c>
      <c r="K965" s="74">
        <f>IFERROR(I965/J965,0)</f>
        <v/>
      </c>
      <c r="L965" s="36" t="n">
        <v>73</v>
      </c>
      <c r="M965" s="36" t="n">
        <v>24829</v>
      </c>
      <c r="N965" s="36" t="n">
        <v>0</v>
      </c>
      <c r="O965" s="35" t="inlineStr">
        <is>
          <t>Image_Carrousel</t>
        </is>
      </c>
    </row>
    <row r="966" ht="13.5" customHeight="1" s="109">
      <c r="A966" s="72" t="inlineStr">
        <is>
          <t>https://www.instagram.com/p/DTSPLr7jS5A/</t>
        </is>
      </c>
      <c r="B966" s="72" t="inlineStr">
        <is>
          <t>Environnement &amp; Nature</t>
        </is>
      </c>
      <c r="C966" s="72" t="inlineStr">
        <is>
          <t>Climat / Ecologie</t>
        </is>
      </c>
      <c r="D966" s="73" t="n">
        <v>50</v>
      </c>
      <c r="E966" s="73" t="inlineStr">
        <is>
          <t>N</t>
        </is>
      </c>
      <c r="F966" s="72" t="inlineStr">
        <is>
          <t>Média public suisse, rapportage factuel et neutre sur un phénomène naturel et ses risques.</t>
        </is>
      </c>
      <c r="G966" s="73" t="inlineStr">
        <is>
          <t>Oui</t>
        </is>
      </c>
      <c r="H966" s="72" t="inlineStr">
        <is>
          <t>Manque de culture / Dangers pas assez mis en avant.</t>
        </is>
      </c>
      <c r="I966" s="73" t="n">
        <v>2</v>
      </c>
      <c r="J966" s="73" t="n">
        <v>6</v>
      </c>
      <c r="K966" s="74">
        <f>IFERROR(I966/J966,0)</f>
        <v/>
      </c>
      <c r="L966" s="73" t="n">
        <v>8</v>
      </c>
      <c r="M966" s="73" t="n">
        <v>6522</v>
      </c>
      <c r="N966" s="73" t="n">
        <v>0</v>
      </c>
      <c r="O966" s="72" t="inlineStr">
        <is>
          <t>Image_Carrousel</t>
        </is>
      </c>
    </row>
    <row r="967" ht="13.5" customHeight="1" s="109">
      <c r="A967" s="35" t="inlineStr">
        <is>
          <t>https://www.instagram.com/p/DTUz995CTZr/</t>
        </is>
      </c>
      <c r="B967" s="35" t="inlineStr">
        <is>
          <t>Societe &amp; Droits</t>
        </is>
      </c>
      <c r="C967" s="35" t="inlineStr">
        <is>
          <t>Faits de societe</t>
        </is>
      </c>
      <c r="D967" s="36" t="n">
        <v>45</v>
      </c>
      <c r="E967" s="36" t="inlineStr">
        <is>
          <t>N</t>
        </is>
      </c>
      <c r="F967" s="35" t="inlineStr">
        <is>
          <t>Média de service public, informe objectivement sur une évolution législative.</t>
        </is>
      </c>
      <c r="G967" s="36" t="inlineStr">
        <is>
          <t>Non</t>
        </is>
      </c>
      <c r="H967" s="35" t="n"/>
      <c r="I967" s="36" t="n">
        <v>0</v>
      </c>
      <c r="J967" s="36" t="n">
        <v>5</v>
      </c>
      <c r="K967" s="74">
        <f>IFERROR(I967/J967,0)</f>
        <v/>
      </c>
      <c r="L967" s="36" t="n">
        <v>99</v>
      </c>
      <c r="M967" s="36" t="n">
        <v>5532</v>
      </c>
      <c r="N967" s="36" t="n">
        <v>0</v>
      </c>
      <c r="O967" s="35" t="inlineStr">
        <is>
          <t>Image_Carrousel</t>
        </is>
      </c>
    </row>
    <row r="968" ht="13.5" customHeight="1" s="109">
      <c r="A968" s="72" t="inlineStr">
        <is>
          <t>https://www.instagram.com/p/DTSsHuKghE6/</t>
        </is>
      </c>
      <c r="B968" s="72" t="inlineStr">
        <is>
          <t>Societe &amp; Droits</t>
        </is>
      </c>
      <c r="C968" s="72" t="inlineStr">
        <is>
          <t>Faits de societe</t>
        </is>
      </c>
      <c r="D968" s="73" t="n">
        <v>50</v>
      </c>
      <c r="E968" s="73" t="inlineStr">
        <is>
          <t>N</t>
        </is>
      </c>
      <c r="F968" s="72" t="inlineStr">
        <is>
          <t>Média de service public, rapportage factuel et neutre sur un événement sociétal.</t>
        </is>
      </c>
      <c r="G968" s="73" t="inlineStr">
        <is>
          <t>Non</t>
        </is>
      </c>
      <c r="H968" s="72" t="n"/>
      <c r="I968" s="73" t="n">
        <v>0</v>
      </c>
      <c r="J968" s="73" t="n">
        <v>10</v>
      </c>
      <c r="K968" s="74">
        <f>IFERROR(I968/J968,0)</f>
        <v/>
      </c>
      <c r="L968" s="73" t="n">
        <v>223</v>
      </c>
      <c r="M968" s="73" t="n">
        <v>29793</v>
      </c>
      <c r="N968" s="73" t="n">
        <v>193895</v>
      </c>
      <c r="O968" s="72" t="inlineStr">
        <is>
          <t>Video</t>
        </is>
      </c>
    </row>
    <row r="969" ht="13.5" customHeight="1" s="109">
      <c r="A969" s="35" t="inlineStr">
        <is>
          <t>https://www.instagram.com/p/DTVPc0QAs20/</t>
        </is>
      </c>
      <c r="B969" s="35" t="inlineStr">
        <is>
          <t>Culture &amp; Loisirs</t>
        </is>
      </c>
      <c r="C969" s="35" t="inlineStr">
        <is>
          <t>Sport</t>
        </is>
      </c>
      <c r="D969" s="36" t="n">
        <v>50</v>
      </c>
      <c r="E969" s="36" t="inlineStr">
        <is>
          <t>N</t>
        </is>
      </c>
      <c r="F969" s="35" t="inlineStr">
        <is>
          <t>Reportage sportif factuel et célébratif, typique d'un média public neutre.</t>
        </is>
      </c>
      <c r="G969" s="36" t="inlineStr">
        <is>
          <t>Non</t>
        </is>
      </c>
      <c r="H969" s="35" t="n"/>
      <c r="I969" s="36" t="n">
        <v>0</v>
      </c>
      <c r="J969" s="36" t="n">
        <v>10</v>
      </c>
      <c r="K969" s="74">
        <f>IFERROR(I969/J969,0)</f>
        <v/>
      </c>
      <c r="L969" s="36" t="n">
        <v>40</v>
      </c>
      <c r="M969" s="36" t="n">
        <v>12313</v>
      </c>
      <c r="N969" s="36" t="n">
        <v>0</v>
      </c>
      <c r="O969" s="35" t="inlineStr">
        <is>
          <t>Image_Carrousel</t>
        </is>
      </c>
    </row>
    <row r="970" ht="13.5" customHeight="1" s="109">
      <c r="A970" s="72" t="inlineStr">
        <is>
          <t>https://www.instagram.com/p/DTVLkLEjd-E/</t>
        </is>
      </c>
      <c r="B970" s="72" t="inlineStr">
        <is>
          <t>Economie &amp; Travail</t>
        </is>
      </c>
      <c r="C970" s="72" t="inlineStr">
        <is>
          <t>Consommation</t>
        </is>
      </c>
      <c r="D970" s="73" t="n">
        <v>50</v>
      </c>
      <c r="E970" s="73" t="inlineStr">
        <is>
          <t>N</t>
        </is>
      </c>
      <c r="F970" s="72" t="inlineStr">
        <is>
          <t>Média de service public, rapport factuel sur les opérations et l'impact client, sans biais apparent.</t>
        </is>
      </c>
      <c r="G970" s="73" t="inlineStr">
        <is>
          <t>Non</t>
        </is>
      </c>
      <c r="H970" s="72" t="n"/>
      <c r="I970" s="73" t="n">
        <v>0</v>
      </c>
      <c r="J970" s="73" t="n">
        <v>6</v>
      </c>
      <c r="K970" s="74">
        <f>IFERROR(I970/J970,0)</f>
        <v/>
      </c>
      <c r="L970" s="73" t="n">
        <v>13</v>
      </c>
      <c r="M970" s="73" t="n">
        <v>5591</v>
      </c>
      <c r="N970" s="73" t="n">
        <v>0</v>
      </c>
      <c r="O970" s="72" t="inlineStr">
        <is>
          <t>Image_Carrousel</t>
        </is>
      </c>
    </row>
    <row r="971" ht="13.5" customHeight="1" s="109">
      <c r="A971" s="35" t="inlineStr">
        <is>
          <t>https://www.instagram.com/p/DTQD667AN6C/</t>
        </is>
      </c>
      <c r="B971" s="35" t="inlineStr">
        <is>
          <t>Securite &amp; Justice</t>
        </is>
      </c>
      <c r="C971" s="35" t="inlineStr">
        <is>
          <t>Justice</t>
        </is>
      </c>
      <c r="D971" s="36" t="n">
        <v>45</v>
      </c>
      <c r="E971" s="36" t="inlineStr">
        <is>
          <t>N</t>
        </is>
      </c>
      <c r="F971" s="35" t="inlineStr">
        <is>
          <t>RTS, service public suisse, vise l'information neutre et équilibrée.</t>
        </is>
      </c>
      <c r="G971" s="36" t="inlineStr">
        <is>
          <t>Non</t>
        </is>
      </c>
      <c r="H971" s="35" t="inlineStr">
        <is>
          <t>Aucune critique directe du traitement médiatique n'est formulée.</t>
        </is>
      </c>
      <c r="I971" s="36" t="n">
        <v>0</v>
      </c>
      <c r="J971" s="36" t="n">
        <v>5</v>
      </c>
      <c r="K971" s="74">
        <f>IFERROR(I971/J971,0)</f>
        <v/>
      </c>
      <c r="L971" s="36" t="n">
        <v>138</v>
      </c>
      <c r="M971" s="36" t="n">
        <v>8104</v>
      </c>
      <c r="N971" s="36" t="n">
        <v>0</v>
      </c>
      <c r="O971" s="35" t="inlineStr">
        <is>
          <t>Image_Carrousel</t>
        </is>
      </c>
    </row>
    <row r="972" ht="13.5" customHeight="1" s="109">
      <c r="A972" s="72" t="inlineStr">
        <is>
          <t>https://www.instagram.com/p/DTQd35Rjx7a/</t>
        </is>
      </c>
      <c r="B972" s="72" t="inlineStr">
        <is>
          <t>Environnement &amp; Nature</t>
        </is>
      </c>
      <c r="C972" s="72" t="inlineStr">
        <is>
          <t>Climat / Ecologie</t>
        </is>
      </c>
      <c r="D972" s="73" t="n">
        <v>45</v>
      </c>
      <c r="E972" s="73" t="inlineStr">
        <is>
          <t>G</t>
        </is>
      </c>
      <c r="F972" s="72" t="inlineStr">
        <is>
          <t>Média public informe sur tempête, accent sur sécurité et prévisions.</t>
        </is>
      </c>
      <c r="G972" s="73" t="inlineStr">
        <is>
          <t>Oui</t>
        </is>
      </c>
      <c r="H972" s="72" t="inlineStr">
        <is>
          <t>Erreur de date/jour dans la publication.</t>
        </is>
      </c>
      <c r="I972" s="73" t="n">
        <v>4</v>
      </c>
      <c r="J972" s="73" t="n">
        <v>7</v>
      </c>
      <c r="K972" s="74">
        <f>IFERROR(I972/J972,0)</f>
        <v/>
      </c>
      <c r="L972" s="73" t="n">
        <v>30</v>
      </c>
      <c r="M972" s="73" t="n">
        <v>4464</v>
      </c>
      <c r="N972" s="73" t="n">
        <v>0</v>
      </c>
      <c r="O972" s="72" t="inlineStr">
        <is>
          <t>Image_Carrousel</t>
        </is>
      </c>
    </row>
    <row r="973" ht="13.5" customHeight="1" s="109">
      <c r="A973" s="35" t="inlineStr">
        <is>
          <t>https://www.instagram.com/p/DTP7irrAaE-/</t>
        </is>
      </c>
      <c r="B973" s="35" t="inlineStr">
        <is>
          <t>International</t>
        </is>
      </c>
      <c r="C973" s="35" t="inlineStr">
        <is>
          <t>Conflits</t>
        </is>
      </c>
      <c r="D973" s="36" t="n">
        <v>50</v>
      </c>
      <c r="E973" s="36" t="inlineStr">
        <is>
          <t>N</t>
        </is>
      </c>
      <c r="F973" s="35" t="inlineStr">
        <is>
          <t>Rapport factuel sur les licenciements à l'UNRWA, incluant les critiques israéliennes.</t>
        </is>
      </c>
      <c r="G973" s="36" t="inlineStr">
        <is>
          <t>Oui</t>
        </is>
      </c>
      <c r="H973" s="35" t="inlineStr">
        <is>
          <t>Accusation d'omission d'informations sur l'infiltration du Hamas.</t>
        </is>
      </c>
      <c r="I973" s="36" t="n">
        <v>1</v>
      </c>
      <c r="J973" s="36" t="n">
        <v>6</v>
      </c>
      <c r="K973" s="74">
        <f>IFERROR(I973/J973,0)</f>
        <v/>
      </c>
      <c r="L973" s="36" t="n">
        <v>55</v>
      </c>
      <c r="M973" s="36" t="n">
        <v>944</v>
      </c>
      <c r="N973" s="36" t="n">
        <v>0</v>
      </c>
      <c r="O973" s="35" t="inlineStr">
        <is>
          <t>Image_Carrousel</t>
        </is>
      </c>
    </row>
    <row r="974" ht="13.5" customHeight="1" s="109">
      <c r="A974" s="72" t="inlineStr">
        <is>
          <t>https://www.instagram.com/p/DTSFpkfjfUp/</t>
        </is>
      </c>
      <c r="B974" s="72" t="inlineStr">
        <is>
          <t>Securite &amp; Justice</t>
        </is>
      </c>
      <c r="C974" s="72" t="inlineStr">
        <is>
          <t>Justice</t>
        </is>
      </c>
      <c r="D974" s="73" t="n">
        <v>50</v>
      </c>
      <c r="E974" s="73" t="inlineStr">
        <is>
          <t>N</t>
        </is>
      </c>
      <c r="F974" s="72" t="inlineStr">
        <is>
          <t>RTS est un média de service public, rapport factuel et neutre sur une affaire judiciaire.</t>
        </is>
      </c>
      <c r="G974" s="73" t="inlineStr">
        <is>
          <t>Non</t>
        </is>
      </c>
      <c r="H974" s="72" t="inlineStr">
        <is>
          <t>Aucune critique directe du média dans les commentaires.</t>
        </is>
      </c>
      <c r="I974" s="73" t="n">
        <v>0</v>
      </c>
      <c r="J974" s="73" t="n">
        <v>6</v>
      </c>
      <c r="K974" s="74">
        <f>IFERROR(I974/J974,0)</f>
        <v/>
      </c>
      <c r="L974" s="73" t="n">
        <v>181</v>
      </c>
      <c r="M974" s="73" t="n">
        <v>11015</v>
      </c>
      <c r="N974" s="73" t="n">
        <v>0</v>
      </c>
      <c r="O974" s="72" t="inlineStr">
        <is>
          <t>Image_Carrousel</t>
        </is>
      </c>
    </row>
    <row r="975" ht="13.5" customHeight="1" s="109">
      <c r="A975" s="35" t="inlineStr">
        <is>
          <t>https://www.instagram.com/p/DTQk5ntE99P/</t>
        </is>
      </c>
      <c r="B975" s="35" t="inlineStr">
        <is>
          <t>Societe &amp; Droits</t>
        </is>
      </c>
      <c r="C975" s="35" t="inlineStr">
        <is>
          <t>Faits de societe</t>
        </is>
      </c>
      <c r="D975" s="36" t="n">
        <v>55</v>
      </c>
      <c r="E975" s="36" t="inlineStr">
        <is>
          <t>N</t>
        </is>
      </c>
      <c r="F975" s="35" t="inlineStr">
        <is>
          <t>Média public suisse, vise la neutralité, souvent perçu centre.</t>
        </is>
      </c>
      <c r="G975" s="36" t="inlineStr">
        <is>
          <t>Non</t>
        </is>
      </c>
      <c r="H975" s="35" t="n"/>
      <c r="I975" s="36" t="n">
        <v>0</v>
      </c>
      <c r="J975" s="36" t="n">
        <v>8</v>
      </c>
      <c r="K975" s="74">
        <f>IFERROR(I975/J975,0)</f>
        <v/>
      </c>
      <c r="L975" s="36" t="n">
        <v>41</v>
      </c>
      <c r="M975" s="36" t="n">
        <v>4289</v>
      </c>
      <c r="N975" s="36" t="n">
        <v>102606</v>
      </c>
      <c r="O975" s="35" t="inlineStr">
        <is>
          <t>Video</t>
        </is>
      </c>
    </row>
    <row r="976" ht="13.5" customHeight="1" s="109">
      <c r="A976" s="72" t="inlineStr">
        <is>
          <t>https://www.instagram.com/p/DTQCbevgTx7/</t>
        </is>
      </c>
      <c r="B976" s="72" t="inlineStr">
        <is>
          <t>Securite &amp; Justice</t>
        </is>
      </c>
      <c r="C976" s="72" t="inlineStr">
        <is>
          <t>Ordre public</t>
        </is>
      </c>
      <c r="D976" s="73" t="n">
        <v>50</v>
      </c>
      <c r="E976" s="73" t="inlineStr">
        <is>
          <t>N</t>
        </is>
      </c>
      <c r="F976" s="72" t="inlineStr">
        <is>
          <t>Média public rapportant un avertissement factuel des autorités sur la fraude.</t>
        </is>
      </c>
      <c r="G976" s="73" t="inlineStr">
        <is>
          <t>Non</t>
        </is>
      </c>
      <c r="H976" s="72" t="n"/>
      <c r="I976" s="73" t="n">
        <v>0</v>
      </c>
      <c r="J976" s="73" t="n">
        <v>7</v>
      </c>
      <c r="K976" s="74">
        <f>IFERROR(I976/J976,0)</f>
        <v/>
      </c>
      <c r="L976" s="73" t="n">
        <v>42</v>
      </c>
      <c r="M976" s="73" t="n">
        <v>4132</v>
      </c>
      <c r="N976" s="73" t="n">
        <v>0</v>
      </c>
      <c r="O976" s="72" t="inlineStr">
        <is>
          <t>Image_Carrousel</t>
        </is>
      </c>
    </row>
    <row r="977" ht="13.5" customHeight="1" s="109">
      <c r="A977" s="35" t="inlineStr">
        <is>
          <t>https://www.instagram.com/p/DTQnJP7kcIi/</t>
        </is>
      </c>
      <c r="B977" s="35" t="inlineStr">
        <is>
          <t>International</t>
        </is>
      </c>
      <c r="C977" s="35" t="inlineStr">
        <is>
          <t>Geopolitique</t>
        </is>
      </c>
      <c r="D977" s="36" t="n">
        <v>50</v>
      </c>
      <c r="E977" s="36" t="inlineStr">
        <is>
          <t>N</t>
        </is>
      </c>
      <c r="F977" s="35" t="inlineStr">
        <is>
          <t>RTS est un média de service public suisse, cherchant l'objectivité, positionné au centre.</t>
        </is>
      </c>
      <c r="G977" s="36" t="inlineStr">
        <is>
          <t>Oui</t>
        </is>
      </c>
      <c r="H977" s="35" t="inlineStr">
        <is>
          <t>Scepticisme exprimé sur la véracité du 'blackout' rapporté par le média.</t>
        </is>
      </c>
      <c r="I977" s="36" t="n">
        <v>1</v>
      </c>
      <c r="J977" s="36" t="n">
        <v>8</v>
      </c>
      <c r="K977" s="74">
        <f>IFERROR(I977/J977,0)</f>
        <v/>
      </c>
      <c r="L977" s="36" t="n">
        <v>101</v>
      </c>
      <c r="M977" s="36" t="n">
        <v>1979</v>
      </c>
      <c r="N977" s="36" t="n">
        <v>0</v>
      </c>
      <c r="O977" s="35" t="inlineStr">
        <is>
          <t>Image_Carrousel</t>
        </is>
      </c>
    </row>
    <row r="978" ht="13.5" customHeight="1" s="109">
      <c r="A978" s="72" t="inlineStr">
        <is>
          <t>https://www.instagram.com/p/DTR-AvkiGeo/</t>
        </is>
      </c>
      <c r="B978" s="72" t="inlineStr">
        <is>
          <t>Sante</t>
        </is>
      </c>
      <c r="C978" s="72" t="inlineStr">
        <is>
          <t>Sante publique</t>
        </is>
      </c>
      <c r="D978" s="73" t="n">
        <v>25</v>
      </c>
      <c r="E978" s="73" t="inlineStr">
        <is>
          <t>G</t>
        </is>
      </c>
      <c r="F978" s="72" t="inlineStr">
        <is>
          <t>RTS, service public suisse, souvent perçu comme centre-gauche dans sa ligne éditoriale.</t>
        </is>
      </c>
      <c r="G978" s="73" t="inlineStr">
        <is>
          <t>Oui</t>
        </is>
      </c>
      <c r="H978" s="72" t="inlineStr">
        <is>
          <t>Manque d'information sur une offre similaire existante.</t>
        </is>
      </c>
      <c r="I978" s="73" t="n">
        <v>1</v>
      </c>
      <c r="J978" s="73" t="n">
        <v>9</v>
      </c>
      <c r="K978" s="74">
        <f>IFERROR(I978/J978,0)</f>
        <v/>
      </c>
      <c r="L978" s="73" t="n">
        <v>80</v>
      </c>
      <c r="M978" s="73" t="n">
        <v>12609</v>
      </c>
      <c r="N978" s="73" t="n">
        <v>0</v>
      </c>
      <c r="O978" s="72" t="inlineStr">
        <is>
          <t>Image_Carrousel</t>
        </is>
      </c>
    </row>
    <row r="979" ht="13.5" customHeight="1" s="109">
      <c r="A979" s="35" t="inlineStr">
        <is>
          <t>https://www.instagram.com/p/DTQXhKeDBJn/</t>
        </is>
      </c>
      <c r="B979" s="35" t="inlineStr">
        <is>
          <t>Societe &amp; Droits</t>
        </is>
      </c>
      <c r="C979" s="35" t="inlineStr">
        <is>
          <t>Faits de societe</t>
        </is>
      </c>
      <c r="D979" s="36" t="n">
        <v>45</v>
      </c>
      <c r="E979" s="36" t="inlineStr">
        <is>
          <t>N</t>
        </is>
      </c>
      <c r="F979" s="35" t="inlineStr">
        <is>
          <t>Reportage factuel sur un événement national de deuil, mettant en avant la cohésion sociale.</t>
        </is>
      </c>
      <c r="G979" s="36" t="inlineStr">
        <is>
          <t>Non</t>
        </is>
      </c>
      <c r="H979" s="35" t="n"/>
      <c r="I979" s="36" t="n">
        <v>0</v>
      </c>
      <c r="J979" s="36" t="n">
        <v>9</v>
      </c>
      <c r="K979" s="74">
        <f>IFERROR(I979/J979,0)</f>
        <v/>
      </c>
      <c r="L979" s="36" t="n">
        <v>83</v>
      </c>
      <c r="M979" s="36" t="n">
        <v>18778</v>
      </c>
      <c r="N979" s="36" t="n">
        <v>0</v>
      </c>
      <c r="O979" s="35" t="inlineStr">
        <is>
          <t>Image_Carrousel</t>
        </is>
      </c>
    </row>
    <row r="980" ht="13.5" customHeight="1" s="109">
      <c r="A980" s="72" t="inlineStr">
        <is>
          <t>https://www.instagram.com/p/DTRwSGiD7lp/</t>
        </is>
      </c>
      <c r="B980" s="72" t="inlineStr">
        <is>
          <t>Sante</t>
        </is>
      </c>
      <c r="C980" s="72" t="inlineStr">
        <is>
          <t>Sante publique</t>
        </is>
      </c>
      <c r="D980" s="73" t="n">
        <v>40</v>
      </c>
      <c r="E980" s="73" t="inlineStr">
        <is>
          <t>N</t>
        </is>
      </c>
      <c r="F980" s="72" t="inlineStr">
        <is>
          <t>RTS, média public, propose un reportage factuel sur la santé publique.</t>
        </is>
      </c>
      <c r="G980" s="73" t="inlineStr">
        <is>
          <t>Non</t>
        </is>
      </c>
      <c r="H980" s="72" t="inlineStr">
        <is>
          <t>Aucun commentaire ne formule de reproche envers le média.</t>
        </is>
      </c>
      <c r="I980" s="73" t="n">
        <v>0</v>
      </c>
      <c r="J980" s="73" t="n">
        <v>6</v>
      </c>
      <c r="K980" s="74">
        <f>IFERROR(I980/J980,0)</f>
        <v/>
      </c>
      <c r="L980" s="73" t="n">
        <v>25</v>
      </c>
      <c r="M980" s="73" t="n">
        <v>2625</v>
      </c>
      <c r="N980" s="73" t="n">
        <v>0</v>
      </c>
      <c r="O980" s="72" t="inlineStr">
        <is>
          <t>Image_Carrousel</t>
        </is>
      </c>
    </row>
    <row r="981" ht="13.5" customHeight="1" s="109">
      <c r="A981" s="35" t="inlineStr">
        <is>
          <t>https://www.instagram.com/p/DTR3RyBklGB/</t>
        </is>
      </c>
      <c r="B981" s="35" t="inlineStr">
        <is>
          <t>International</t>
        </is>
      </c>
      <c r="C981" s="35" t="inlineStr">
        <is>
          <t>Geopolitique</t>
        </is>
      </c>
      <c r="D981" s="36" t="n">
        <v>40</v>
      </c>
      <c r="E981" s="36" t="inlineStr">
        <is>
          <t>N</t>
        </is>
      </c>
      <c r="F981" s="35" t="inlineStr">
        <is>
          <t>Analyse critique de l'impérialisme et des ingérences des États-Unis.</t>
        </is>
      </c>
      <c r="G981" s="36" t="inlineStr">
        <is>
          <t>Oui</t>
        </is>
      </c>
      <c r="H981" s="35" t="inlineStr">
        <is>
          <t>Définition de la doctrine Monroe contestée par un commentaire.</t>
        </is>
      </c>
      <c r="I981" s="36" t="n">
        <v>1</v>
      </c>
      <c r="J981" s="36" t="n">
        <v>3</v>
      </c>
      <c r="K981" s="74">
        <f>IFERROR(I981/J981,0)</f>
        <v/>
      </c>
      <c r="L981" s="36" t="n">
        <v>127</v>
      </c>
      <c r="M981" s="36" t="n">
        <v>1353</v>
      </c>
      <c r="N981" s="36" t="n">
        <v>32265</v>
      </c>
      <c r="O981" s="35" t="inlineStr">
        <is>
          <t>Video</t>
        </is>
      </c>
    </row>
    <row r="982" ht="13.5" customHeight="1" s="109">
      <c r="A982" s="72" t="inlineStr">
        <is>
          <t>https://www.instagram.com/p/DTgBoaBlAMs/</t>
        </is>
      </c>
      <c r="B982" s="72" t="inlineStr">
        <is>
          <t>Securite &amp; Justice</t>
        </is>
      </c>
      <c r="C982" s="72" t="inlineStr">
        <is>
          <t>Ordre public</t>
        </is>
      </c>
      <c r="D982" s="73" t="n">
        <v>40</v>
      </c>
      <c r="E982" s="73" t="inlineStr">
        <is>
          <t>N</t>
        </is>
      </c>
      <c r="F982" s="72" t="inlineStr">
        <is>
          <t>Critique les institutions pour protection insuffisante, prône des mesures plus strictes pour les victimes.</t>
        </is>
      </c>
      <c r="G982" s="73" t="inlineStr">
        <is>
          <t>Non</t>
        </is>
      </c>
      <c r="H982" s="72" t="n"/>
      <c r="I982" s="73" t="n">
        <v>0</v>
      </c>
      <c r="J982" s="73" t="n">
        <v>4</v>
      </c>
      <c r="K982" s="74">
        <f>IFERROR(I982/J982,0)</f>
        <v/>
      </c>
      <c r="L982" s="73" t="n">
        <v>11</v>
      </c>
      <c r="M982" s="73" t="n">
        <v>437</v>
      </c>
      <c r="N982" s="73" t="n">
        <v>11600</v>
      </c>
      <c r="O982" s="72" t="inlineStr">
        <is>
          <t>Video</t>
        </is>
      </c>
    </row>
    <row r="983" ht="13.5" customHeight="1" s="109">
      <c r="A983" s="35" t="inlineStr">
        <is>
          <t>https://www.instagram.com/p/DTQkWV0CFYE/</t>
        </is>
      </c>
      <c r="B983" s="35" t="inlineStr">
        <is>
          <t>Securite &amp; Justice</t>
        </is>
      </c>
      <c r="C983" s="35" t="inlineStr">
        <is>
          <t>Activites de Police</t>
        </is>
      </c>
      <c r="D983" s="36" t="n">
        <v>35</v>
      </c>
      <c r="E983" s="36" t="inlineStr">
        <is>
          <t>G</t>
        </is>
      </c>
      <c r="F983" s="35" t="inlineStr">
        <is>
          <t>Questionne récit officiel, met en lumière les témoignages contradictoires et les manifestations.</t>
        </is>
      </c>
      <c r="G983" s="36" t="inlineStr">
        <is>
          <t>Oui</t>
        </is>
      </c>
      <c r="H983" s="35" t="inlineStr">
        <is>
          <t>Remise en cause terminologie, demande partage bodycam.</t>
        </is>
      </c>
      <c r="I983" s="36" t="n">
        <v>2</v>
      </c>
      <c r="J983" s="36" t="n">
        <v>6</v>
      </c>
      <c r="K983" s="74">
        <f>IFERROR(I983/J983,0)</f>
        <v/>
      </c>
      <c r="L983" s="36" t="n">
        <v>435</v>
      </c>
      <c r="M983" s="36" t="n">
        <v>5431</v>
      </c>
      <c r="N983" s="36" t="n">
        <v>120456</v>
      </c>
      <c r="O983" s="35" t="inlineStr">
        <is>
          <t>Video</t>
        </is>
      </c>
    </row>
    <row r="984" ht="13.5" customHeight="1" s="109">
      <c r="A984" s="72" t="inlineStr">
        <is>
          <t>https://www.instagram.com/p/DTPzlN1Dvou/</t>
        </is>
      </c>
      <c r="B984" s="72" t="inlineStr">
        <is>
          <t>Sante</t>
        </is>
      </c>
      <c r="C984" s="72" t="inlineStr">
        <is>
          <t>Sante publique</t>
        </is>
      </c>
      <c r="D984" s="73" t="n">
        <v>40</v>
      </c>
      <c r="E984" s="73" t="inlineStr">
        <is>
          <t>G</t>
        </is>
      </c>
      <c r="F984" s="72" t="inlineStr">
        <is>
          <t>RTS, service public, souvent perçu comme centriste-gauche en Suisse.</t>
        </is>
      </c>
      <c r="G984" s="73" t="inlineStr">
        <is>
          <t>Oui</t>
        </is>
      </c>
      <c r="H984" s="72" t="inlineStr">
        <is>
          <t>Un commentaire questionne la véracité du sujet ("Quel scam").</t>
        </is>
      </c>
      <c r="I984" s="73" t="n">
        <v>1</v>
      </c>
      <c r="J984" s="73" t="n">
        <v>8</v>
      </c>
      <c r="K984" s="74">
        <f>IFERROR(I984/J984,0)</f>
        <v/>
      </c>
      <c r="L984" s="73" t="n">
        <v>26</v>
      </c>
      <c r="M984" s="73" t="n">
        <v>5506</v>
      </c>
      <c r="N984" s="73" t="n">
        <v>65257</v>
      </c>
      <c r="O984" s="72" t="inlineStr">
        <is>
          <t>Video</t>
        </is>
      </c>
    </row>
    <row r="985" ht="13.5" customHeight="1" s="109">
      <c r="A985" s="35" t="inlineStr">
        <is>
          <t>https://www.instagram.com/p/DTPqYGeCWHN/</t>
        </is>
      </c>
      <c r="B985" s="35" t="inlineStr">
        <is>
          <t>International</t>
        </is>
      </c>
      <c r="C985" s="35" t="inlineStr">
        <is>
          <t>Geopolitique</t>
        </is>
      </c>
      <c r="D985" s="36" t="n">
        <v>40</v>
      </c>
      <c r="E985" s="36" t="inlineStr">
        <is>
          <t>N</t>
        </is>
      </c>
      <c r="F985" s="35" t="inlineStr">
        <is>
          <t>Public broadcaster; factual reporting, covers consequences of withdrawal from global accords.</t>
        </is>
      </c>
      <c r="G985" s="36" t="inlineStr">
        <is>
          <t>Non</t>
        </is>
      </c>
      <c r="H985" s="35" t="n"/>
      <c r="I985" s="36" t="n">
        <v>0</v>
      </c>
      <c r="J985" s="36" t="n">
        <v>6</v>
      </c>
      <c r="K985" s="74">
        <f>IFERROR(I985/J985,0)</f>
        <v/>
      </c>
      <c r="L985" s="36" t="n">
        <v>201</v>
      </c>
      <c r="M985" s="36" t="n">
        <v>3665</v>
      </c>
      <c r="N985" s="36" t="n">
        <v>0</v>
      </c>
      <c r="O985" s="35" t="inlineStr">
        <is>
          <t>Image_Carrousel</t>
        </is>
      </c>
    </row>
    <row r="986" ht="13.5" customHeight="1" s="109">
      <c r="A986" s="72" t="inlineStr">
        <is>
          <t>https://www.instagram.com/p/DTPZN7QD853/</t>
        </is>
      </c>
      <c r="B986" s="72" t="inlineStr">
        <is>
          <t>Sante</t>
        </is>
      </c>
      <c r="C986" s="72" t="inlineStr">
        <is>
          <t>Sante publique</t>
        </is>
      </c>
      <c r="D986" s="73" t="n">
        <v>50</v>
      </c>
      <c r="E986" s="73" t="inlineStr">
        <is>
          <t>N</t>
        </is>
      </c>
      <c r="F986" s="72" t="inlineStr">
        <is>
          <t>RTS public, rapport factuel et informatif sur un rappel produit.</t>
        </is>
      </c>
      <c r="G986" s="73" t="inlineStr">
        <is>
          <t>Non</t>
        </is>
      </c>
      <c r="H986" s="72" t="n"/>
      <c r="I986" s="73" t="n">
        <v>0</v>
      </c>
      <c r="J986" s="73" t="n">
        <v>4</v>
      </c>
      <c r="K986" s="74">
        <f>IFERROR(I986/J986,0)</f>
        <v/>
      </c>
      <c r="L986" s="73" t="n">
        <v>92</v>
      </c>
      <c r="M986" s="73" t="n">
        <v>1824</v>
      </c>
      <c r="N986" s="73" t="n">
        <v>0</v>
      </c>
      <c r="O986" s="72" t="inlineStr">
        <is>
          <t>Image_Carrousel</t>
        </is>
      </c>
    </row>
    <row r="987" ht="13.5" customHeight="1" s="109">
      <c r="A987" s="35" t="inlineStr">
        <is>
          <t>https://www.instagram.com/p/DTP1kNXD6t3/</t>
        </is>
      </c>
      <c r="B987" s="35" t="inlineStr">
        <is>
          <t>Securite &amp; Justice</t>
        </is>
      </c>
      <c r="C987" s="35" t="inlineStr">
        <is>
          <t>Ordre public</t>
        </is>
      </c>
      <c r="D987" s="36" t="n">
        <v>45</v>
      </c>
      <c r="E987" s="36" t="inlineStr">
        <is>
          <t>N</t>
        </is>
      </c>
      <c r="F987" s="35" t="inlineStr">
        <is>
          <t>RTS, média public, rapporte les faits institutionnels de manière neutre.</t>
        </is>
      </c>
      <c r="G987" s="36" t="inlineStr">
        <is>
          <t>Non</t>
        </is>
      </c>
      <c r="H987" s="35" t="n"/>
      <c r="I987" s="36" t="n">
        <v>0</v>
      </c>
      <c r="J987" s="36" t="n">
        <v>10</v>
      </c>
      <c r="K987" s="74">
        <f>IFERROR(I987/J987,0)</f>
        <v/>
      </c>
      <c r="L987" s="36" t="n">
        <v>142</v>
      </c>
      <c r="M987" s="36" t="n">
        <v>13948</v>
      </c>
      <c r="N987" s="36" t="n">
        <v>0</v>
      </c>
      <c r="O987" s="35" t="inlineStr">
        <is>
          <t>Image_Carrousel</t>
        </is>
      </c>
    </row>
  </sheetData>
  <hyperlinks>
    <hyperlink xmlns:r="http://schemas.openxmlformats.org/officeDocument/2006/relationships" ref="A2" r:id="rId1"/>
  </hyperlinks>
  <printOptions horizontalCentered="1"/>
  <pageMargins left="0.75" right="0.75" top="1" bottom="1" header="0.5" footer="0.5"/>
  <pageSetup orientation="portrait" paperSize="9" scale="31" fitToHeight="0" horizontalDpi="300" verticalDpi="300"/>
</worksheet>
</file>

<file path=xl/worksheets/sheet9.xml><?xml version="1.0" encoding="utf-8"?>
<worksheet xmlns="http://schemas.openxmlformats.org/spreadsheetml/2006/main">
  <sheetPr>
    <outlinePr summaryBelow="1" summaryRight="1"/>
    <pageSetUpPr fitToPage="1"/>
  </sheetPr>
  <dimension ref="A1:B16"/>
  <sheetViews>
    <sheetView showGridLines="0" workbookViewId="0">
      <selection activeCell="B6" sqref="B6"/>
    </sheetView>
  </sheetViews>
  <sheetFormatPr baseColWidth="10" defaultColWidth="8.83203125" defaultRowHeight="15"/>
  <cols>
    <col width="22" customWidth="1" style="109" min="1" max="1"/>
    <col width="70" customWidth="1" style="109" min="2" max="2"/>
  </cols>
  <sheetData>
    <row r="1">
      <c r="A1" s="105" t="inlineStr">
        <is>
          <t>Colonne</t>
        </is>
      </c>
      <c r="B1" s="105" t="inlineStr">
        <is>
          <t>Définition</t>
        </is>
      </c>
    </row>
    <row r="2">
      <c r="A2" s="106" t="inlineStr">
        <is>
          <t>URL</t>
        </is>
      </c>
      <c r="B2" s="107" t="inlineStr">
        <is>
          <t>Lien direct vers la publication Instagram analysée</t>
        </is>
      </c>
    </row>
    <row r="3">
      <c r="A3" s="106" t="inlineStr">
        <is>
          <t>Theme_Global</t>
        </is>
      </c>
      <c r="B3" s="107" t="inlineStr">
        <is>
          <t>Catégorie thématique principale (8 catégories)</t>
        </is>
      </c>
    </row>
    <row r="4">
      <c r="A4" s="106" t="inlineStr">
        <is>
          <t>Sous_Categorie</t>
        </is>
      </c>
      <c r="B4" s="107" t="inlineStr">
        <is>
          <t>Sous-thème précis au sein de la catégorie</t>
        </is>
      </c>
    </row>
    <row r="5">
      <c r="A5" s="106" t="inlineStr">
        <is>
          <t>Media_Score</t>
        </is>
      </c>
      <c r="B5" s="107" t="inlineStr">
        <is>
          <t>Score d'orientation éditoriale attribué par l'IA : 0 (gauche) à 100 (droite), 50 = neutre</t>
        </is>
      </c>
    </row>
    <row r="6">
      <c r="A6" s="106" t="inlineStr">
        <is>
          <t>Media_Cat</t>
        </is>
      </c>
      <c r="B6" s="107" t="inlineStr">
        <is>
          <t>Classe dérivée du score : G (gauche), N (neutre) ou D (droite)</t>
        </is>
      </c>
    </row>
    <row r="7">
      <c r="A7" s="106" t="inlineStr">
        <is>
          <t>Media_Justif</t>
        </is>
      </c>
      <c r="B7" s="107" t="inlineStr">
        <is>
          <t>Justification courte du score, produite par l'IA (max 15 mots)</t>
        </is>
      </c>
    </row>
    <row r="8">
      <c r="A8" s="106" t="inlineStr">
        <is>
          <t>Critique_Media</t>
        </is>
      </c>
      <c r="B8" s="107" t="inlineStr">
        <is>
          <t>Oui si au moins un commentaire reproche quelque chose au traitement éditorial</t>
        </is>
      </c>
    </row>
    <row r="9">
      <c r="A9" s="106" t="inlineStr">
        <is>
          <t>Justif_Critique</t>
        </is>
      </c>
      <c r="B9" s="107" t="inlineStr">
        <is>
          <t>Motif principal de la critique détectée dans les commentaires</t>
        </is>
      </c>
    </row>
    <row r="10">
      <c r="A10" s="106" t="inlineStr">
        <is>
          <t>Nb_ComsCritiques</t>
        </is>
      </c>
      <c r="B10" s="107" t="inlineStr">
        <is>
          <t>Nombre de commentaires analysés jugés critiques envers la RTS</t>
        </is>
      </c>
    </row>
    <row r="11">
      <c r="A11" s="106" t="inlineStr">
        <is>
          <t>Nb_ComsAnalyses</t>
        </is>
      </c>
      <c r="B11" s="107" t="inlineStr">
        <is>
          <t>Nombre total de commentaires lus par l'IA pour cette publication</t>
        </is>
      </c>
    </row>
    <row r="12">
      <c r="A12" s="106" t="inlineStr">
        <is>
          <t>Ratio_ComsCritique</t>
        </is>
      </c>
      <c r="B12" s="107" t="inlineStr">
        <is>
          <t>Part des commentaires critiques sur les commentaires analysés</t>
        </is>
      </c>
    </row>
    <row r="13">
      <c r="A13" s="106" t="inlineStr">
        <is>
          <t>Coms_Total</t>
        </is>
      </c>
      <c r="B13" s="107" t="inlineStr">
        <is>
          <t>Nombre total de commentaires de la publication (réel Instagram)</t>
        </is>
      </c>
    </row>
    <row r="14">
      <c r="A14" s="106" t="inlineStr">
        <is>
          <t>Likes</t>
        </is>
      </c>
      <c r="B14" s="107" t="inlineStr">
        <is>
          <t>Nombre de mentions « j'aime »</t>
        </is>
      </c>
    </row>
    <row r="15">
      <c r="A15" s="106" t="inlineStr">
        <is>
          <t>Vues</t>
        </is>
      </c>
      <c r="B15" s="107" t="inlineStr">
        <is>
          <t>Nombre de vues (vidéos uniquement ; 0 sinon)</t>
        </is>
      </c>
    </row>
    <row r="16">
      <c r="A16" s="106" t="inlineStr">
        <is>
          <t>Type_Media</t>
        </is>
      </c>
      <c r="B16" s="107" t="inlineStr">
        <is>
          <t>Format : Image, Image_Carrousel ou Video</t>
        </is>
      </c>
    </row>
  </sheetData>
  <printOptions horizontalCentered="1"/>
  <pageMargins left="0.75" right="0.75" top="1" bottom="1" header="0.5" footer="0.5"/>
  <pageSetup orientation="portrait" paperSize="9" scale="88" fitToHeight="0" horizontalDpi="0" verticalDpi="0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2026-03-27T21:33:07Z</dcterms:created>
  <dcterms:modified xmlns:dcterms="http://purl.org/dc/terms/" xmlns:xsi="http://www.w3.org/2001/XMLSchema-instance" xsi:type="dcterms:W3CDTF">2026-06-01T10:28:39Z</dcterms:modified>
  <cp:lastModifiedBy>Tom Citherlet</cp:lastModifiedBy>
  <cp:revision>2</cp:revision>
  <cp:lastPrinted>2026-06-01T08:45:56Z</cp:lastPrinted>
</cp:coreProperties>
</file>